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peech - Julian Assange" sheetId="1" r:id="rId3"/>
    <sheet state="visible" name="Small Bits (Quotes) - Julian As" sheetId="2" r:id="rId4"/>
  </sheets>
  <definedNames/>
  <calcPr/>
</workbook>
</file>

<file path=xl/sharedStrings.xml><?xml version="1.0" encoding="utf-8"?>
<sst xmlns="http://schemas.openxmlformats.org/spreadsheetml/2006/main" count="2334" uniqueCount="1392">
  <si>
    <t>#Unity4J Online Library</t>
  </si>
  <si>
    <t>See Pinterest Board:</t>
  </si>
  <si>
    <t>NOTE: This selection of quotes is currently being updated (for source) in another file.
          The revised file will be uploaded here when completed.</t>
  </si>
  <si>
    <t>SECTION 2: Quotes from Julian Assange (linked to source)</t>
  </si>
  <si>
    <t>Unsourced list posted by greekemmy</t>
  </si>
  <si>
    <t>DATE of Publication</t>
  </si>
  <si>
    <t>DATE of 
Event</t>
  </si>
  <si>
    <t>LINK to recording</t>
  </si>
  <si>
    <t>LINK to transcript</t>
  </si>
  <si>
    <t>QUOTE</t>
  </si>
  <si>
    <t>FROM</t>
  </si>
  <si>
    <t>Twitter is a police interview that never ends. Facebook has your friends wearing a wire. YouTube has you in the dock talking to the judge.</t>
  </si>
  <si>
    <t>WIKILEAKS: Assange: "The son of a bitch is me" - statement on the sentencing hearing of US journalist Barrett Brown</t>
  </si>
  <si>
    <t>Against the omniscient marvels of today’s surveillance state, Big Brother seems quaint, even reassuring.</t>
  </si>
  <si>
    <t>NYT: Opinion: Who Should Own the Internet? Julian Assange on Living in a Surveillance Society</t>
  </si>
  <si>
    <t>Everything about the world Orwell envisioned has become so obvious that one keeps running up against the novel’s narrative shortcomings</t>
  </si>
  <si>
    <r>
      <t xml:space="preserve">The real reason lies in the calculus of power: </t>
    </r>
    <r>
      <rPr>
        <b/>
      </rPr>
      <t>the destruction of privacy widens the existing power imbalance between the ruling factions and everyone else</t>
    </r>
    <r>
      <t>, leaving “the outlook for subject peoples and oppressed classes,” as Orwell wrote, “still more hopeless.”</t>
    </r>
  </si>
  <si>
    <t>It is widely hoped that all our societies need to do to fix our problems is to pass a few laws.</t>
  </si>
  <si>
    <r>
      <t xml:space="preserve">The cancer is much deeper than this. </t>
    </r>
    <r>
      <rPr>
        <b/>
      </rPr>
      <t>We live not only in a surveillance state, but in a surveillance society.</t>
    </r>
    <r>
      <t xml:space="preserve"> Totalitarian surveillance is not only embodied in our governments; it is embedded in our economy, in our mundane uses of technology and in our everyday interactions.</t>
    </r>
  </si>
  <si>
    <r>
      <rPr>
        <b/>
      </rPr>
      <t xml:space="preserve">The very concept of the Internet — a single, global, homogenous network that enmeshes the world — is the essence of a surveillance state. </t>
    </r>
    <r>
      <t>The Internet was built in a surveillance-friendly way because governments and serious players in the commercial Internet wanted it that way. There were alternatives at every step of the way. They were ignored.</t>
    </r>
  </si>
  <si>
    <r>
      <t xml:space="preserve">Unlike intelligence agencies, which eavesdrop on international telecommunications lines, the commercial surveillance complex lures billions of human beings with the promise of “free services.” Their business model is the industrial destruction of privacy. 
</t>
    </r>
    <r>
      <rPr>
        <b/>
      </rPr>
      <t>And yet even the more strident critics of NSA surveillance do not appear to be calling for an end to Google and Facebook.</t>
    </r>
  </si>
  <si>
    <t>The same developments that make our civilization easier to surveil make it harder to predict.</t>
  </si>
  <si>
    <r>
      <rPr>
        <b/>
      </rPr>
      <t>It is too early to say whether the “democratizing” or the “tyrannical” side of the Internet will eventually win out.</t>
    </r>
    <r>
      <t xml:space="preserve"> But acknowledging them — and perceiving them as the field of struggle — is the first step toward acting effectively.</t>
    </r>
  </si>
  <si>
    <t xml:space="preserve">It is possible for more people to communicate and trade with others in more places in a single instant than it ever has been in history. </t>
  </si>
  <si>
    <r>
      <rPr>
        <b/>
      </rPr>
      <t>Humanity cannot now reject the Internet, but clearly we cannot surrender it either. Instead, we have to fight for it.</t>
    </r>
    <r>
      <t xml:space="preserve"> Just as the dawn of atomic weapons inaugurated the Cold War, the manifold logic of the Internet is the key to understanding the approaching war for the intellectual center of our civilization.</t>
    </r>
  </si>
  <si>
    <t>In the West, the intelligence agencies are now eighty percent run by private industry. Oct 13, 2014</t>
  </si>
  <si>
    <t>The Internet, because it has merged with society, is now the future destiny of human society. Oct 12, 2014</t>
  </si>
  <si>
    <t>Google has become, in its behavior, a privatized version of the NSA. Oct 11, 2014</t>
  </si>
  <si>
    <t>We believe that it is now inevitable that my asylum will cease to be obstructed. Oct 08, 2014</t>
  </si>
  <si>
    <t>Amnesty International has formally found that Chelsea Manning is a prisoner of conscience. Oct 07, 2014</t>
  </si>
  <si>
    <t>Google, in terms of how it works—it’s actual practice—is almost identical to the National Security Agency or GCHQ. Oct 06, 2014</t>
  </si>
  <si>
    <t>Sysadmins and CIOs need to think carefully about the political implications of their roles in the organizations they are in. Oct 05, 2014</t>
  </si>
  <si>
    <t>Moral authority is more a creation of having a powerful content generation and distribution industry than anything else. Oct 04, 2014</t>
  </si>
  <si>
    <t>If the US and its allies want to reduce “terror” in the [Middle East] — as Noam Chomsky says — they need to stop participating in it. Oct 03, 2014</t>
  </si>
  <si>
    <t>If ISIS poses a threat to anyone, it is to countries in the region, and they are the appropriate parties to address it. Oct 02, 2014</t>
  </si>
  <si>
    <t>ISIS is an ugly phenomenon, but it’s largely the consequence of one blunder after another by the US and its allies in the region… Oct 01, 2014</t>
  </si>
  <si>
    <t>It is sad what has become of my homeland, but our publications show that it has been a long time coming, at least since the 1970s. Sep 30, 2014</t>
  </si>
  <si>
    <t>Google can certainly do something better to fight privacy violations and protect their users. Sep 29, 2014</t>
  </si>
  <si>
    <t>The mass surveillance of significant portions of the world’s population is an ongoing violation of rights on a mass scale. Sep 28, 2014</t>
  </si>
  <si>
    <t>All news sources other than archives like https://t.co/SUgRJvGHDE have an intent to influence the audience. Sep 27, 2014</t>
  </si>
  <si>
    <t>https://www.pinterest.nz/unity4j/speaking/</t>
  </si>
  <si>
    <t>Google’s business model is to spy. Sep 26, 2014</t>
  </si>
  <si>
    <t>Don’t be dispirited; a lot of people are now working rapidly on tools and standards to counter the mass surveillance attack. Sep 25, 2014</t>
  </si>
  <si>
    <t>It is an interesting experience having a $60m attack on your reputation distributed by Disney. Sep 24, 2014</t>
  </si>
  <si>
    <t>We have to fight to create new networks of freedom. The old and powerful always become corrupt. Sep 23, 2014</t>
  </si>
  <si>
    <t>Censorship by companies controlling privatized political space is now almost a norm. Sep 22, 2014</t>
  </si>
  <si>
    <t>Our publications have never jeopardized the “national security” of any nation. Sep 21, 2014</t>
  </si>
  <si>
    <t>Secrecy is, yes, sometimes necessary, but healthy democracies understand that secrecy is the exception, not the rule. Sep 20, 2014</t>
  </si>
  <si>
    <t>“National security” pretexts for secrecy are routinely used by powerful officials, but seldom justified. Sep 19, 2014</t>
  </si>
  <si>
    <t>Confidential government documents we have published disclose evidence of war crimes, criminal back-room dealings and sundry abuses. Sep 18, 2014</t>
  </si>
  <si>
    <t>The Internet permits many people to act globally in a way they couldn’t before. Sep 17, 2014</t>
  </si>
  <si>
    <t>When we are aware of the world and the scale of its inhumanity and stupidity we feel small. Sep 16, 2014</t>
  </si>
  <si>
    <t>If we can construct our own associations &amp; organizations of courageous intelligent people, of course they will prosper &amp; ultimately prevail. May 10, 2014</t>
  </si>
  <si>
    <t>We’re ultimately dealing with slow-moving, very bureaucratic, deeply incompetent institutions that do not attract the best and brightest. May 09, 2014</t>
  </si>
  <si>
    <t>The reality is that the National Security Agency is a deeply incompetent organization. May 08, 2014</t>
  </si>
  <si>
    <t>Occupying the internet is the same thing as occupying our societies. May 07, 2014</t>
  </si>
  <si>
    <t>There has been an annexing of the digital space in which our modern societies operate. May 06, 2014</t>
  </si>
  <si>
    <r>
      <rPr>
        <b/>
        <color rgb="FFFF0000"/>
      </rPr>
      <t>NOTE</t>
    </r>
    <r>
      <t xml:space="preserve">: Entries to the </t>
    </r>
    <r>
      <rPr>
        <b/>
        <color rgb="FFFF0000"/>
      </rPr>
      <t>left</t>
    </r>
    <r>
      <t xml:space="preserve"> and </t>
    </r>
    <r>
      <rPr>
        <b/>
        <color rgb="FFFF0000"/>
      </rPr>
      <t xml:space="preserve">above </t>
    </r>
    <r>
      <t>the INDEX pin on the Pinterest board have not yet been included here.</t>
    </r>
  </si>
  <si>
    <t>The US must not be allowed to compromise encryption and communications standards to increase its access. May 05, 2014</t>
  </si>
  <si>
    <t>Countries need to form industrial alliances to create alternative physical infrastructure for the internet… May 04, 2014</t>
  </si>
  <si>
    <t>In Latin America, almost every connection to the global internet is through fiber-optic cables that run through the United States. May 03, 2014</t>
  </si>
  <si>
    <t>The internet doesn’t just represent one trend, but several. May 02, 2014</t>
  </si>
  <si>
    <t>A year ago journalists would not print that the NSA was surveilling the entire internet. May 01, 2014</t>
  </si>
  <si>
    <t>The most important thing that Mr Snowden has done is move global civilization to the realization that mass surveillance is real. Apr 30, 2014</t>
  </si>
  <si>
    <t>We need encryption from the transport layer up. In the end it will be mathematics that keeps superpowers at bay… Apr 29, 2014</t>
  </si>
  <si>
    <t>Instead of thinking about how bad it is for global humanity to weaponize software, the US is escalating a global electronic arms race. Apr 28, 2014</t>
  </si>
  <si>
    <t>Propagandists are at a disadvantage on the internet. Apr 27, 2014</t>
  </si>
  <si>
    <t>There are astroturfing campaigns on the internet, and all kinds of misinformation and disinformation and black propaganda. Apr 26, 2014</t>
  </si>
  <si>
    <t>Power will seek to control or influence information flows in order to consolidate its own power position. Apr 25, 2014</t>
  </si>
  <si>
    <t>A more free public means a less powerful central authority, and central authorities always seek to keep or grow their power. Apr 24, 2014</t>
  </si>
  <si>
    <t>A knowledgeable public is an empowered public is a free public. Apr 23, 2014</t>
  </si>
  <si>
    <t>Information flow is not a neutral phenomenon. It is related to the movement of power through a society. Apr 22, 2014</t>
  </si>
  <si>
    <t>In a world where “code is law” the legislative domain is not restricted to governments or their corporate anchors. Apr 21, 2014</t>
  </si>
  <si>
    <t>The internet, and along with it mass surveillance, has penetrated the core of international human society. Apr 20, 2014</t>
  </si>
  <si>
    <t>At any one point in the United States there’s some 60,000 prisoners in some sort of solitary confinement. Apr 05, 2014</t>
  </si>
  <si>
    <t>The NSA and GCHQ have been sucking up all our personal communication, and their capabilities have been doubling every 18 months. Apr 04, 2014</t>
  </si>
  <si>
    <t>Historically the NSA has run its PR campaign based on not existing. When a lot of info came out, NSA gave an aggressive response. Apr 03, 2014</t>
  </si>
  <si>
    <t>Totalitarian dystopia in the sense that the surveillance is total, so that no one can exist outside the state…. Apr 02, 2014</t>
  </si>
  <si>
    <t>The internet about 4 years ago was a politically apathetic space. There were gradually developments, e.g. Anonymous vs Scientology. Apr 01, 2014</t>
  </si>
  <si>
    <t>When we published the manuals from GITMO, there in those manuals in black in white is ‘hide things from the Red Cross’. Mar 31, 2014</t>
  </si>
  <si>
    <t>We know what happens when a government gets serious: someone gets fired, prosecuted, etc. These have not happened to the NSA. Mar 30, 2014</t>
  </si>
  <si>
    <t>SECTION 1: Direct Speech (oral or in writing) by Julian Assange and WikiLeaks in the public record</t>
  </si>
  <si>
    <t>The reform doesn’t appear like it’s going to come out of the government. Indicative of the deep state, the power of the intel agencies. Mar 29, 2014</t>
  </si>
  <si>
    <t>You’ve got no choice. You can no longer hide from the state or keep your head down. Arbitrary justice is arbitrary. Mar 28, 2014</t>
  </si>
  <si>
    <t>We are now all involved in it. We are all part of the state. We have no choice but to attempt to manage it. Mar 27, 2014</t>
  </si>
  <si>
    <t>We are educating eachother at an unprecedented speed. 20 year olds today are much more educated than 20 year olds 10 years ago. Mar 26, 2014</t>
  </si>
  <si>
    <t>Yes, we have upcoming leaks, but we don’t like to give the opponent too much of a heads up. Mar 25, 2014</t>
  </si>
  <si>
    <t>The big lessons are not geostrategic lessons. We were ready for that fight. It’s more how people you trust behave under pressure. Mar 24, 2014</t>
  </si>
  <si>
    <t>We’re all living in a world that we don’t actually understand. Before all these disclosures, we were living in some illusion. Mar 23, 2014</t>
  </si>
  <si>
    <t>We are walking around constantly in this fog where we can’t see the ground. These disclosures are a break in the fog. Mar 22, 2014</t>
  </si>
  <si>
    <t>In some ways I feel the fear more keenly, so I can perceive the way things are going in different ways. Mar 21, 2014</t>
  </si>
  <si>
    <t>The Pentagon in 2010 demanded we destroy all previous and upcoming publications. And we said ‘no’. Mar 20, 2014</t>
  </si>
  <si>
    <t>There’s now about 70 different Bitcoin-type currencies. So that idea is here to stay. Mar 19, 2014</t>
  </si>
  <si>
    <t>The ability to surveil everyone on the planet is almost there, and will argueably be there in a few years. And to store that data. Mar 18, 2014</t>
  </si>
  <si>
    <t>We not only have to put up with NSA, but there are big companies like Google. You are all the product that is sold to advertisers. Mar 17, 2014</t>
  </si>
  <si>
    <t>We’re a small publisher. We try and test. We do not accept the perception of fear, we push to see what is the reality. Mar 16, 2014</t>
  </si>
  <si>
    <t>It became clear to me that one of the best ways to achieve justice is to expose injustice. Mar 15, 2014</t>
  </si>
  <si>
    <t>The internet has become a political space. I think that is one of the most important developments in the past decade. Mar 14, 2014</t>
  </si>
  <si>
    <t>Unless you’re involved in the system of coercive force, with money alone you don’t get power. Mar 13, 2014</t>
  </si>
  <si>
    <t>Courage is not the absence of fear; only a fool has no fear. Courage is seeing the fear and continuing to proceed. Mar 12, 2014</t>
  </si>
  <si>
    <t>Note: Only selected tweets from the WL and JA/AD/DA/KH twitter accounts are included.</t>
  </si>
  <si>
    <t>Power is a thing of perception. They don’t need to be able to kill you. They just need you to think they are able to kill you. Mar 11, 2014</t>
  </si>
  <si>
    <t>Now that the internet has merged with human society, the laws that apply to the internet apply to human society. Mar 10, 2014</t>
  </si>
  <si>
    <t>We saw that cryptography would liberate people in a very important way. It would help those trying to hold the state accountable. Mar 09, 2014</t>
  </si>
  <si>
    <t>We all have emotional instincts which react against our perceptions of the world. Jan 03, 2014</t>
  </si>
  <si>
    <t>Conspirators are often discerning, for some trust and depend on each other, while others say little. Jan 02, 2014</t>
  </si>
  <si>
    <t>The total economic size of the media is not enough to be able to properly contextualize and assess the potential volume of leaked material. Jan 01, 2014</t>
  </si>
  <si>
    <t>The quality of our discourse is the limit of our civilization. Dec 31, 2013</t>
  </si>
  <si>
    <t>To deal with powerful conspiratorial actions we must think ahead and attack the process that leads to them. Dec 30, 2013</t>
  </si>
  <si>
    <t>Addressing injustice on a mass scale I find pleasurable and satisfying. Dec 29, 2013</t>
  </si>
  <si>
    <t>When our media is corrupt, our academics timid, our history filled with half-truths and lies — our civilization will never be just. Dec 28, 2013</t>
  </si>
  <si>
    <t>Our particular view on the mechanism of transparency is to selectively go after material that is concealed. Dec 27, 2013</t>
  </si>
  <si>
    <t>If all the collected information about the world was public that might rebalance the power dynamic and let us. . .shape our destiny. Dec 26, 2013</t>
  </si>
  <si>
    <t>What I feel is that even if the media doesn’t work, this thing is here for historians. . . Dec 25, 2013</t>
  </si>
  <si>
    <t>People must be kept free to exchange knowledge with each other, and the press must not be censored. Dec 24, 2013</t>
  </si>
  <si>
    <t>Actually, WikiLeaks as an organization is one of the very rare media organizations that doesn’t tend to speak to sources. Dec 23, 2013</t>
  </si>
  <si>
    <t>Insofar as our decisions are an expression of who we are, we must make sure that we do not lack courage. Dec 22, 2013</t>
  </si>
  <si>
    <t>There are particular forms of technology that can give us these fundamental rights; freedoms that many people have aspired to for so long. Nov 27, 2013</t>
  </si>
  <si>
    <t>Seeing ongoing political reforms that have a real impact on people all over the world is extremely satisfying. Nov 26, 2013</t>
  </si>
  <si>
    <t>He saw a US military that often did not follow the rule of law, and in fact, engaged in murder and supported political corruption. Nov 25, 2013</t>
  </si>
  <si>
    <t>Strategic interception is about intercepting everyone regardless of whether they are innocent or guilty. Nov 24, 2013</t>
  </si>
  <si>
    <t>You can’t publish a paper on physics without the full experimental data and results; that should be the standard in journalism. Nov 23, 2013</t>
  </si>
  <si>
    <t>Cryptography is the ultimate form of non-violent direct action. Nov 22, 2013</t>
  </si>
  <si>
    <t>It is the media that controls the boundaries of what is politically permissible, so better to change the media. Nov 21, 2013</t>
  </si>
  <si>
    <t>Medium</t>
  </si>
  <si>
    <t>Well, look, the abuse of the law by generals and CEOs is something we’ve seen again and again and again. Nov 20, 2013</t>
  </si>
  <si>
    <t>Platform</t>
  </si>
  <si>
    <t>Duration</t>
  </si>
  <si>
    <t>I see that there is now a militarization of cyberspace, in the sense of a military occupation. Nov 19, 2013</t>
  </si>
  <si>
    <t>Information at that level, and at such quantities, can produce significant reform effects, and produce a back reaction by people in power. Nov 18, 2013</t>
  </si>
  <si>
    <t>I support similarly minded people, not because they are moral agents, but because they have common cause with my own feelings and dreams. Nov 17, 2013</t>
  </si>
  <si>
    <t>In the history of WikiLeaks, nobody has claimed that the material being put out is not authentic. Nov 16, 2013</t>
  </si>
  <si>
    <t>The aim of WikiLeaks is to achieve just reform around the world and do it through the mechanism of transparency. Nov 15, 2013</t>
  </si>
  <si>
    <t>As WikiLeaks stands under threat, so does the freedom of expression and the health of all our societies. Nov 14, 2013</t>
  </si>
  <si>
    <t>For the first time in history that has allowed one person with some truth to speak to every single person who wants to hear that truth. Nov 13, 2013</t>
  </si>
  <si>
    <t>WikiLeaks, we hope, will be a new star in the political firmament of humanity. Nov 12, 2013</t>
  </si>
  <si>
    <t>WikiLeaks will be an anvil at which beats the hammer of the collective conscience of humanity. Nov 11, 2013</t>
  </si>
  <si>
    <t>WikiLeaks is designed to make capitalism more free and ethical. Nov 10, 2013</t>
  </si>
  <si>
    <t>I want to go back to these three fundamental freedoms: freedom of communication, freedom of movement and freedom of economic interaction. Nov 09, 2013</t>
  </si>
  <si>
    <t>By publishing all the primary source content to the public the people affected by the story can pick over it. Nov 08, 2013</t>
  </si>
  <si>
    <t>Sometimes laws need to be broken. And I say that if any laws were broken in the release of this material, then they should have been broken. Nov 07, 2013</t>
  </si>
  <si>
    <t>Description</t>
  </si>
  <si>
    <t>We can pump out the truth in a volume that is great enough to quench the fire. Nov 06, 2013</t>
  </si>
  <si>
    <t>But not now; men in their prime, if they have convictions are tasked to act on them. Nov 05, 2013</t>
  </si>
  <si>
    <t>Key Topics</t>
  </si>
  <si>
    <t>Key People</t>
  </si>
  <si>
    <t>Location</t>
  </si>
  <si>
    <t>We name names of those people that are involved in corrupt or abusive activities, and that includes in Afghanistan. Nov 04, 2013</t>
  </si>
  <si>
    <t>NOTES</t>
  </si>
  <si>
    <t>ALT LINK</t>
  </si>
  <si>
    <t>Associated website, article etc</t>
  </si>
  <si>
    <t>LINK to Memes</t>
  </si>
  <si>
    <t>Stopping leaks is a new form of censorship. Nov 03, 2013</t>
  </si>
  <si>
    <t>Non-conformity is the only real passion worth being ruled by. Nov 02, 2013</t>
  </si>
  <si>
    <t>True democracy is the resistance of people armed with the truth, against lies, from Tahrir to London. Nov 01, 2013</t>
  </si>
  <si>
    <t>Look, whenever you see a president talk about exceptionalism, what he’s trying to say is the rules of civil behaviour don’t apply to him. Oct 21, 2013</t>
  </si>
  <si>
    <t>Barrett Brown should be released immediately and the charges against him dropped. Sep 16, 2013</t>
  </si>
  <si>
    <t>Google has decided to enmesh itself within the heart of US establishment power. Aug 03, 2013</t>
  </si>
  <si>
    <t>The penetration of society by the internet and the penetration of the internet by society is the best thing that has ever happened… Aug 03, 2013</t>
  </si>
  <si>
    <t>Stop eating the young: Edward Snowden, Barrett Brown, Jeremy Hammond, Aaron Swartz, Gottfrid Svartholm, Jacob Appelbaum, &amp; Bradley Manning. Jul 05, 2013</t>
  </si>
  <si>
    <t>The truth is all we have. There is no hope with anything else. Jul 04, 2013</t>
  </si>
  <si>
    <t>Happy birthday to Mr. Julian Assange, editor-in-chief and founder of @wikileaks! #WikiLeaks #Assange @justleft @suigenerisjen Jul 03, 2013</t>
  </si>
  <si>
    <t>WikiLeaks may become the most powerful intelligence agency on earth, an intelligence agency of the people. Jun 13, 2013</t>
  </si>
  <si>
    <t>The erosion of individual privacy in the West and the attendant centralization of power make abuses inevitable. Jun 11, 2013</t>
  </si>
  <si>
    <t>The advance of information technology. . .heralds the death of privacy for most people and shifts the world toward authoritarianism. Jun 10, 2013</t>
  </si>
  <si>
    <t>I salute journalists and publications. . . who continue publishing the truth in face of persecution, prosecution and threat. Jun 09, 2013</t>
  </si>
  <si>
    <t>Always when I look back in the past, I hope to want to do things differently. That is what happens to anyone who learns. Jun 08, 2013</t>
  </si>
  <si>
    <t>We are dealing with intelligence agencies that are very sophisticated. Jun 07, 2013</t>
  </si>
  <si>
    <t>We fought this big war in the 1990s to try and make cryptography available to everyone, which we largely won. Jun 06, 2013</t>
  </si>
  <si>
    <t>There is a reason a financial blockade was erected against us?our other organizational facets are harder to suppress. Jun 05, 2013</t>
  </si>
  <si>
    <t>The internet has led to an explosion of the amount of information that is available to the public?it?s just extraordinary. Jun 04, 2013</t>
  </si>
  <si>
    <t>What does censorship reveal? It reveals fear. Jun 03, 2013</t>
  </si>
  <si>
    <t>The goal is justice, the method is transparency. It’s important not to confuse the goal and the method. May 31, 2013</t>
  </si>
  <si>
    <t>The institutional value of most mainstream media organisations is to hoard information and keep it away from the public. May 30, 2013</t>
  </si>
  <si>
    <t>The government doesn’t have a right to secrets. Governments give rights to the people. May 29, 2013</t>
  </si>
  <si>
    <t>When powerful abusers are taken on, there is always a back reaction. May 28, 2013</t>
  </si>
  <si>
    <t>Because judgements which are not based upon the truth can only lead to outcomes which are themselves false. May 27, 2013</t>
  </si>
  <si>
    <t>If we look at what is the cost and what is the benefit, clearly the benefits are the most tremendous we have ever seen in journalism. May 26, 2013</t>
  </si>
  <si>
    <t>And if we are to produce a more civilized society, a more just society, it has to be based upon the truth. May 25, 2013</t>
  </si>
  <si>
    <t>All communications will be surveilled, permanently recorded, permanently tracked. . . May 24, 2013</t>
  </si>
  <si>
    <t>The insiders know where the suppressed knowledge is and the insiders can bring it out. May 23, 2013</t>
  </si>
  <si>
    <t>We seek that information which is the most powerful at producing reform. May 22, 2013</t>
  </si>
  <si>
    <t>My view has always been that the organisation you’re exposing should not know before the victims. May 21, 2013</t>
  </si>
  <si>
    <t>Sweden is the Saudi Arabia of feminism. May 20, 2013</t>
  </si>
  <si>
    <t>The internet. . .has been transformed into the most dangerous facilitator of totalitarianism we have ever seen. May 19, 2013</t>
  </si>
  <si>
    <t>VIDEO</t>
  </si>
  <si>
    <t>There is no allegation by the Pentagon or any other official source that anyone has been physically harmed as a result of our publication… May 18, 2013</t>
  </si>
  <si>
    <t>Twitter</t>
  </si>
  <si>
    <t>There are more people in US prisons than there were in the Soviet Union. May 17, 2013</t>
  </si>
  <si>
    <t>The corruption in reporting starts very early. It’s like the police reporting on the police. May 16, 2013</t>
  </si>
  <si>
    <t>It is the role of good journalism to take on powerful abusers. May 15, 2013</t>
  </si>
  <si>
    <t>Very few people understand the scale of the impact, because every country has had its own tremendous scandals. May 14, 2013</t>
  </si>
  <si>
    <t>Every time we witness an injustice and do not act, we train our character to be passive in its presence. . . May 13, 2013</t>
  </si>
  <si>
    <t>We can’t predict important aspects of our societal environment. May 12, 2013</t>
  </si>
  <si>
    <t>If someone has an opportunity to free people from dictatorships and does not act, obviously that is an immoral standard. May 11, 2013</t>
  </si>
  <si>
    <t>Capable, generous men do not create victims, they nurture victims. May 10, 2013</t>
  </si>
  <si>
    <t>The Pentagon’s threats against us do the United States a disservice and will not be heeded. May 09, 2013</t>
  </si>
  <si>
    <t>RUPTLY exclusive video - Assange in police truck on the waay to court. [The panting noise is the camera operator running to keep pace with the Serco truck.)</t>
  </si>
  <si>
    <t>We represent certain values about freedom of speech. May 08, 2013</t>
  </si>
  <si>
    <t>Privacy or secrecy gives organisations an edge over actors who are hostile to them. May 07, 2013</t>
  </si>
  <si>
    <t>If we have brains or courage, then we are blessed and called on not to frit these qualities away. May 06, 2013</t>
  </si>
  <si>
    <t>In a case where the truth is on your side, what is most against you is lack of scrutiny, so I welcome the scrutiny. May 05, 2013</t>
  </si>
  <si>
    <t>If there’s a problem with the internet there is a problem with the nerve system of society. May 04, 2013</t>
  </si>
  <si>
    <t>We decided to take the hardest publishing case and become specialists in publishing the unpublishable. May 03, 2013</t>
  </si>
  <si>
    <t>It is heartwarming to know Bradley Manning’s courageous statement will be able to be heard for centuries to come. May 02, 2013</t>
  </si>
  <si>
    <t>Every day, ordinary people teach us that democracy is free speech and dissent. May 01, 2013</t>
  </si>
  <si>
    <t>Tweet</t>
  </si>
  <si>
    <t>They’re saying that any time someone inside the government communicates to the media they are communicating with the enemy. Apr 30, 2013</t>
  </si>
  <si>
    <t>[Amnesty International] refuses to recognize [Bradley Manning] as a political prisoner. And that’s disgraceful. Apr 29, 2013</t>
  </si>
  <si>
    <t>We have not a single accusation that anything we have published has not been true. That is the best reputation of all media in the world. Apr 28, 2013</t>
  </si>
  <si>
    <t>The number one ethic of journalism MUST be accuracy. Apr 27, 2013</t>
  </si>
  <si>
    <t>After a while, powerful media organizations cease to hold the most powerful institutions in their country to account. Apr 26, 2013</t>
  </si>
  <si>
    <t>A media organization can shake you down by engaging in a campaign against you. Apr 25, 2013</t>
  </si>
  <si>
    <t>Once media organizations reach a certain size and maturity, they are invited to sit at the table of power. Apr 24, 2013</t>
  </si>
  <si>
    <t>The first thing you do when you’re attacking someone is you isolate them from their support. Apr 23, 2013</t>
  </si>
  <si>
    <t xml:space="preserve">LETTER from Julian Assange (envelope dated 7 Aug 2019)
</t>
  </si>
  <si>
    <t>When people don’t know what is going on. . .then we can’t determine in which way our political system should go forward. Apr 22, 2013</t>
  </si>
  <si>
    <t>The ability to speak and have discourse and to know the world as it is lies behind every other right. Apr 21, 2013</t>
  </si>
  <si>
    <t>Knowledge and the ability to speak permits every other virtue to also exist. Apr 20, 2013</t>
  </si>
  <si>
    <t>You can’t fight for anything you believe in if you don’t have the courage to do it. Apr 19, 2013</t>
  </si>
  <si>
    <t>Courage is the mechanism through which every other virtue rises its head. Apr 18, 2013</t>
  </si>
  <si>
    <t>There’s ideals behind WikiLeaks and, see, those ideals touch upon everything. Apr 17, 2013</t>
  </si>
  <si>
    <t>Even within the United States we have the support of 40% of the population, according to surveys by Reuters. Apr 16, 2013</t>
  </si>
  <si>
    <t>We’ve proven that you can reform half a dozen countries at once if you have access to the right information. Apr 15, 2013</t>
  </si>
  <si>
    <t>Once young people realize their own power, they can stop this machinery. Apr 14, 2013</t>
  </si>
  <si>
    <t>The struggle that we have gone through over the past 2 &amp; 1/2 years is proof that we really believe in the values that we espouse. Apr 13, 2013</t>
  </si>
  <si>
    <t>There is a new cultural revolution that is going on now as a result of the unfiltered communications on the internet. Apr 12, 2013</t>
  </si>
  <si>
    <t>LETTER from Julian Assange dated 21 May 2019. See tweet for transcription.</t>
  </si>
  <si>
    <t>This generation is the most politically educated generation that has ever existed. Apr 11, 2013</t>
  </si>
  <si>
    <t>CN Live</t>
  </si>
  <si>
    <t>The internet is penetrating every society. There is a merger going on between the internet and between societies all around the world. Apr 10, 2013</t>
  </si>
  <si>
    <t>The only safe way to get these cowards to publish anything is to get WikiLeaks to publish it first. Apr 09, 2013</t>
  </si>
  <si>
    <t>You can’t build a skyscraper out of plasticine. And you can’t build a just civilization out of ignorance and lies. Apr 08, 2013</t>
  </si>
  <si>
    <t>We represent sources and journalists in the same way that lawyers represent people who are going before court. Apr 07, 2013</t>
  </si>
  <si>
    <t xml:space="preserve">Kristinn Hrafnsson on CN Live
</t>
  </si>
  <si>
    <t>There’s enormous pressure to harmonize freedom of speech legislation and transparency legislation around the world. Apr 06, 2013</t>
  </si>
  <si>
    <t>That’s an example of the control of the most important elements of the state: the ability to deploy coercive force by corporate interests. Apr 05, 2013</t>
  </si>
  <si>
    <t>You see in the West the court system being hijacked by corporate entities to deploy police to seize assets. Apr 04, 2013</t>
  </si>
  <si>
    <t>And that was the original sin of Guantanamo, it was a corrupt process to evade the law and as a result there’s innocent people there. Apr 03, 2013</t>
  </si>
  <si>
    <t>Facebook, Google, Yahoo, all these major US organizations have built-in interfaces for US intelligence. Apr 02, 2013</t>
  </si>
  <si>
    <t>It’s necessary to know what the agenda and the backer of the media organization is in order to try and understand what is being presented. Apr 01, 2013</t>
  </si>
  <si>
    <t>Every single media organization has an agenda. Every single media organization has a backer. Mar 31, 2013</t>
  </si>
  <si>
    <t>When people of high moral character are pressured in a way that is illegitimate they become stronger, not weaker. Mar 30, 2013</t>
  </si>
  <si>
    <t>WL tweet: DoJ claimed that it needs to coerce Manning into testifying before the grand jury because her testimony is "essential to an ongoing investigation into charges or targets that are not included in the superseding indictment [against Assange]</t>
  </si>
  <si>
    <t>Power that is completely unaccountable is silent. Mar 29, 2013</t>
  </si>
  <si>
    <t>TEXT</t>
  </si>
  <si>
    <t>Corauge</t>
  </si>
  <si>
    <t>All those involved in the persecution of Bradley Manning will find cause to reflect on their actions. Mar 28, 2013</t>
  </si>
  <si>
    <t>It’s only when you start understanding that you can make effective decisions and effective plans. Mar 27, 2013</t>
  </si>
  <si>
    <t>And I believe that is the number one enemy of everyone— not understanding what’s going on in the world. Mar 26, 2013</t>
  </si>
  <si>
    <t>Our number one enemy is ignorance. Mar 25, 2013</t>
  </si>
  <si>
    <t>We are routing around media that is close to power in all sorts of ways. Mar 24, 2013</t>
  </si>
  <si>
    <t>Being inside the center of the storm I have learned about how history is shaped and distorted by the media. Mar 23, 2013</t>
  </si>
  <si>
    <t>Whistleblowers should look for not only a champion to protect them but one that will get the most impact for the risks that they are taking. Mar 22, 2013</t>
  </si>
  <si>
    <t>So if we have a good media environment then we also have a good peaceful environment. Mar 21, 2013</t>
  </si>
  <si>
    <t>Basically populations don’t like wars. Populations have to be fooled into wars. Populations don’t willingly with open eyes go into a war. Mar 20, 2013</t>
  </si>
  <si>
    <t>The media could have stopped it if they had searched deep enough, if they hadn’t reprinted government propaganda they could have stopped it. Mar 19, 2013</t>
  </si>
  <si>
    <t>Courage: Moreno's betrayal of Assange</t>
  </si>
  <si>
    <t>One of the things that I’ve discovered is that nearly every war that has started in the past fifty years has been a result of media lies. Mar 18, 2013</t>
  </si>
  <si>
    <t>Do not look around for people spying on you, if they’re any good you will not see them. Mar 17, 2013</t>
  </si>
  <si>
    <t>I think we’re only about 1/100th of the way there in terms of what we have to release. . .and solidify in the historical record. Mar 16, 2013</t>
  </si>
  <si>
    <t>It’s an extraordinary time that I have lived through and to see many of your dreams and ideals come into practice. Mar 15, 2013</t>
  </si>
  <si>
    <t>Usually the whistleblowers that approach us do so when they have a moment of moral clarity. Mar 14, 2013</t>
  </si>
  <si>
    <t>We accept material that is of political, diplomatic, historical or ethical significance that hasn’t been published before. Mar 13, 2013</t>
  </si>
  <si>
    <t>Document</t>
  </si>
  <si>
    <t>Women show men what courage is. Treated as outsiders, women have learned the hard way how to deal with structural power. Mar 12, 2013</t>
  </si>
  <si>
    <t>There are massive reforms all around the world. These documents that we’ve published contributed significantly to the Arab Spring. Mar 11, 2013</t>
  </si>
  <si>
    <t>This situation provides our organization a platform to draw attention to the crackdown that’s operating against us in the United States. Mar 10, 2013</t>
  </si>
  <si>
    <t>It’s alright for different bodies in society to have conflicting roles— that’s what keeps all our different organizations honest. Mar 09, 2013</t>
  </si>
  <si>
    <t>Our responsibility is to publish fairly and fearlessly and represent the whistleblowers who bring us material. Mar 08, 2013</t>
  </si>
  <si>
    <t>I like women. They’re on balance braver than men, and I’ve worked with many in exposing projects that damage women’s lives. Mar 07, 2013</t>
  </si>
  <si>
    <t>I’ve had to deal with the FBI, the British press and more than a few rank functionaries. Mar 06, 2013</t>
  </si>
  <si>
    <t>When people speak up and stand together it frightens corrupt and undemocratic power. Mar 05, 2013</t>
  </si>
  <si>
    <t xml:space="preserve">Courage: Timeline: Julian Assange’s Expulsion &amp; Arrest
</t>
  </si>
  <si>
    <t>Despite his protestations that there was nothing else to do, he was put into solitary confinement, caged, naked and stripped of his glasses. Mar 04, 2013</t>
  </si>
  <si>
    <t>Unknown</t>
  </si>
  <si>
    <t>The issue is not airlessness and lack of sunshine. If anything gets to me it’s the visual monotony of it all. Mar 03, 2013</t>
  </si>
  <si>
    <t>The Swedish government should drop the case. But that requires them to make their own investigation of how and why their system failed. Mar 02, 2013</t>
  </si>
  <si>
    <t>We don’t make this up based on our political alliances like most organizations do. Mar 01, 2013</t>
  </si>
  <si>
    <t>You won’t know that you’re on the kill list until you’re dead. Feb 28, 2013</t>
  </si>
  <si>
    <t>That’s what’s worrying about present-day trends. We’re losing our civic courage. Feb 27, 2013</t>
  </si>
  <si>
    <t>I had expected to be completely out of my depth. But I felt no fear. I was tremendously enthusiastic about the challenge to come. Feb 26, 2013</t>
  </si>
  <si>
    <t>Never, ever become someone’s victim is a golden rule. Feb 25, 2013</t>
  </si>
  <si>
    <t>I love a good fight. Many people are counting on me to be strong. I want my freedom, of course, but confinement gives me time to think. Feb 24, 2013</t>
  </si>
  <si>
    <t>I cannot see a greater collapse than when the executive can kill its own citizens arbitrarily, at will, in secret. . . Feb 23, 2013</t>
  </si>
  <si>
    <t>Hardship makes or breaks us. True courage is when you manage to hold things together, even though most people expect you to fall to pieces. Feb 22, 2013</t>
  </si>
  <si>
    <t>We have, unlike every other media organization, a very concise and clear editorial policy. Feb 21, 2013</t>
  </si>
  <si>
    <t>In these modern western countries, the basic relationships between powerful groups is fiscal. Feb 19, 2013</t>
  </si>
  <si>
    <t>And we can see that in the difference between what WikiLeaks does and what the rest of the press does. Feb 18, 2013</t>
  </si>
  <si>
    <t>The truth needs no policy position, so there does not need to be an intent. We have a framework, and the framework has an intent. Feb 17, 2013</t>
  </si>
  <si>
    <t>We must think beyond those who have gone before us and discover technological changes that embolden us. . . Feb 16, 2013</t>
  </si>
  <si>
    <t>Censorship is a signal that an organization or a government is fearful about the reform effects of an information release. Feb 15, 2013</t>
  </si>
  <si>
    <t xml:space="preserve">VIDEO Footage of Julian inside Belmarsh Prison (footage presumed to be May, but of unknown date)
</t>
  </si>
  <si>
    <t>Analysts must be responsible to the public and the historical record. Feb 02, 2013</t>
  </si>
  <si>
    <t>Democracies are always lied into war. Feb 01, 2013</t>
  </si>
  <si>
    <t>For the first time in history that has allowed one person with some truth to speak to every single person who wants to hear that truth. Jan 31, 2013</t>
  </si>
  <si>
    <t>The internet has become the most important device for revealing the truth, at least since the beginning of the printing press. Jan 30, 2013</t>
  </si>
  <si>
    <t>Working against that trend of corrupt, powerful organizations producing a distorted perspective of the world has been the internet. Jan 29, 2013</t>
  </si>
  <si>
    <t>We can see that there are certain ingredients that are necessary for any harmonious and rational society. Jan 21, 2013</t>
  </si>
  <si>
    <t>Information at that level, and at such quantities, can produce significant reform effects, and produce a back reaction by people in power. Jan 20, 2013</t>
  </si>
  <si>
    <t>By publishing all the primary source content to the public the people affected by the story can pick over it. Jan 19, 2013</t>
  </si>
  <si>
    <t>We are an organization that is out to produce the most amount of justice, and that’s why sources deal with us, and trust us. Jan 18, 2013</t>
  </si>
  <si>
    <t>As an organization, all that we do is designed to make things public. The entire fruits of our labor are presented to the public. Jan 17, 2013</t>
  </si>
  <si>
    <t>In these modern western countries, the basic relationships between powerful groups is fiscal. Jan 16, 2013</t>
  </si>
  <si>
    <t>Censorship is a signal that an organization or a government is fearful about the reform effects of an information release. Jan 15, 2013</t>
  </si>
  <si>
    <t>Self-knowledge, diversity, and networks of self-determination. A highly educated global population. . . Jan 12, 2013</t>
  </si>
  <si>
    <t>If all the collected information about the world was public that might rebalance the power dynamic and let us. . .shape our destiny. Jan 11, 2013</t>
  </si>
  <si>
    <t>All communications will be surveilled, permanently recorded, permanently tracked. . . Jan 10, 2013</t>
  </si>
  <si>
    <t>Cryptography is going to be everywhere. Jan 09, 2013</t>
  </si>
  <si>
    <t>There are particular forms of technology that can give us these fundamental rights &amp; freedoms that many people have aspired to for so long. Jan 08, 2013</t>
  </si>
  <si>
    <t>WL Press Release: DoJ preparing to file additional indictment against Assange.</t>
  </si>
  <si>
    <t>The internet has led to an explosion of the amount of information that is available to the public—it’s just extraordinary. Jan 07, 2013</t>
  </si>
  <si>
    <t>There is a reason a financial blockade was erected against us—our other organizational facets are harder to suppress. Jan 06, 2013</t>
  </si>
  <si>
    <t>Asylum is not granted on a whim, but granted on facts. Jan 05, 2013</t>
  </si>
  <si>
    <t>I want to go back to these three fundamental freedoms: freedom of communication, freedom of movement and freedom of economic interaction. Jan 04, 2013</t>
  </si>
  <si>
    <t>There are more people in US prisons than there were in the Soviet Union. Jan 03, 2013</t>
  </si>
  <si>
    <t>We have Facebook completely centralized. Twitter completely centralized. Google completely centralized. Jan 02, 2013</t>
  </si>
  <si>
    <t>There is a tendency within the shift to cloud computing that is quite worrying. Jan 01, 2013</t>
  </si>
  <si>
    <t>Cryptography can solve the bulk interception problem. . .which is a threat to global civilization. Dec 31, 2012</t>
  </si>
  <si>
    <t>When our media is corrupt, our academics timid, our history filled with half-truths and lies – our civilization will never be just. Dec 30, 2012</t>
  </si>
  <si>
    <t>I salute journalists and publications. . . who continue publishing the truth in face of persecution, prosecution and threat. Dec 29, 2012</t>
  </si>
  <si>
    <t>Unite in common purpose and common principle to design, build, document, finance and defend. Learn, challenge, act. Now. Dec 28, 2012</t>
  </si>
  <si>
    <t>Challenge the statements, actions and intentions of those who seek to control us behind the facades of democracy and monarchy. Dec 27, 2012</t>
  </si>
  <si>
    <t>True democracy is the resistance of people armed with the truth, against lies, from Tahrir to London. Dec 26, 2012</t>
  </si>
  <si>
    <t>Every day, ordinary people teach us that democracy is free speech and dissent. Dec 25, 2012</t>
  </si>
  <si>
    <t>The quality of our discourse is the limit of our civilization. Dec 24, 2012</t>
  </si>
  <si>
    <t>We have to celebrate those who reveal the truth and denounce those who poison our ability to comprehend the world we live in. Dec 23, 2012</t>
  </si>
  <si>
    <t xml:space="preserve">WL: Statement re AU Police raids on the press
</t>
  </si>
  <si>
    <t>Our beliefs about the world. . .have been created by the same system that has lied us into repeated wars that have killed millions. Dec 22, 2012</t>
  </si>
  <si>
    <t>It is from the revelation of the truth that all else follows. Our civilization is only as strong as its ideas are true. Dec 21, 2012</t>
  </si>
  <si>
    <t>We fought this big war in the 1990s to try and make cryptography available to everyone, which we largely won. Dec 20, 2012</t>
  </si>
  <si>
    <t>Strategic interception is about intercepting everyone regardless of whether they are innocent or guilty. Dec 19, 2012</t>
  </si>
  <si>
    <t>I see that there is now a militarization of cyberspace, in the sense of a military occupation. Dec 18, 2012</t>
  </si>
  <si>
    <t>A mobile phone is a tracking device that also makes calls. Dec 17, 2012</t>
  </si>
  <si>
    <t>The U.S.’s War on Terror has claimed hundreds of thousands of lives, inflamed sectarian violence, and made a mockery of international law Dec 08, 2012</t>
  </si>
  <si>
    <t>The Pentagon’s threats against us do the United States a disservice and will not be heeded. Dec 07, 2012</t>
  </si>
  <si>
    <t>Cryptography is the ultimate form of non-violent direct action. Dec 06, 2012</t>
  </si>
  <si>
    <t>We know the new surveillance state from an insider’s perspective, because we have plumbed its secrets. Dec 05, 2012</t>
  </si>
  <si>
    <t>The internet. . .has been transformed into the most dangerous facilitator of totalitarianism we have ever seen. Dec 04, 2012</t>
  </si>
  <si>
    <t>Under Obama, the military industrial complex has taken off like never before: secret lists for murders, 25 bases for drones. . . Dec 03, 2012</t>
  </si>
  <si>
    <t>It is time for President Obama do the right thing, and join the forces of change, not in fine words but in fine deeds. Dec 02, 2012</t>
  </si>
  <si>
    <t>It is time for the US to cease its persecution of WikiLeaks, to cease its persecution of our people, and our sources. Dec 01, 2012</t>
  </si>
  <si>
    <t xml:space="preserve">WL tweet: The criminalization and crack down on national security journalism is spreading like a virus.
</t>
  </si>
  <si>
    <t>We agree that freedom and self-determination are not merely American or Western values, but universal values. Nov 30, 2012</t>
  </si>
  <si>
    <t>It is disrespectful to the dead and incarcerated of the Bahrain uprising to claim that the United States “supported the forces of change.” Nov 29, 2012</t>
  </si>
  <si>
    <t>He saw a US military that often did not follow the rule of law, and in fact, engaged in murder and supported political corruption. Nov 28, 2012</t>
  </si>
  <si>
    <t>Despite having been detained for 659 days without charge, I am free in the most basic and important sense. I am free to speak my mind. Nov 27, 2012</t>
  </si>
  <si>
    <t>We promise our sources that we will try and get maximum possible impact for the risk that they take. Nov 26, 2012</t>
  </si>
  <si>
    <t>Sometimes laws need to be broken. And I say that if any laws were broken in the release of this material, then they should have been broken. Nov 25, 2012</t>
  </si>
  <si>
    <t>If we look at what is the cost and what is the benefit, clearly the benefits are the most tremendous we have ever seen in journalism. Nov 24, 2012</t>
  </si>
  <si>
    <t>There is all around people being encouraged and facilitated in the liberation of dictatorships and government corruption and so on. Nov 23, 2012</t>
  </si>
  <si>
    <t>Well, look, the abuse of the law by generals and CEOs is something we’ve seen again and again and again. Nov 22, 2012</t>
  </si>
  <si>
    <t>KH responds to Jeremy Hunt's comments:
"Hunt's dismissal did not just confirm the UN's findings that the UK gov had been complicit in creating "an atmosphere of impunity encouraging Mr. Assange’s uninhibited vilification and abuse”, it also showed once again that Assange has no chance of fair and impartial treatment"</t>
  </si>
  <si>
    <t>If someone has an opportunity to free people from dictatorships and does not act, obviously that is an immoral standard. Nov 21, 2012</t>
  </si>
  <si>
    <t>I have seen enough samples to know that there is important revelatory material in there that could achieve change. Nov 20, 2012</t>
  </si>
  <si>
    <t>You should always look back in the past and think, I would do something differently, because otherwise you haven’t learned. Nov 19, 2012</t>
  </si>
  <si>
    <t>What we’re trying to do is make the systems just, to provide incentives to make them just, because the injustice will be exposed. Nov 18, 2012</t>
  </si>
  <si>
    <t>We represent certain values about freedom of speech. Nov 17, 2012</t>
  </si>
  <si>
    <t>We are taking on extremely powerful groups that do have vast and powerful lobbies to support them. Nov 16, 2012</t>
  </si>
  <si>
    <t>People must be kept free to exchange knowledge with each other, and the press must not be censored. Nov 15, 2012</t>
  </si>
  <si>
    <t>That was absolutely the broader philosophical intent, to make embarrassing behavior harder to commit. Nov 14, 2012</t>
  </si>
  <si>
    <t>We name names of those people that are involved in corrupt or abusive activities, and that includes in Afghanistan. Nov 13, 2012</t>
  </si>
  <si>
    <t>There is no allegation by the Pentagon or any other official source that anyone has been physically harmed as a result of our publication… Nov 12, 2012</t>
  </si>
  <si>
    <t>Actually, Wikileaks as an organization is one of the very rare media organizations that doesn’t tend to speak to sources. Nov 11, 2012</t>
  </si>
  <si>
    <t>Always when I look back in the past, I hope to want to do things differently. That is what happens to anyone who learns. Nov 10, 2012</t>
  </si>
  <si>
    <t>The total economic size of the media is not enough to be able to properly contextualize and assess the potential volume of leaked material. Nov 09, 2012</t>
  </si>
  <si>
    <t>Institutions derive their legitimate authority from an informed public that chooses to grant them authority. Nov 08, 2012</t>
  </si>
  <si>
    <t>Unjust organizations are in economic and political equilibrium and competition with just organizations. Nov 07, 2012</t>
  </si>
  <si>
    <t>We have, unlike every other media organization, a very concise and clear editorial policy. Nov 06, 2012</t>
  </si>
  <si>
    <t>KH tweet: re  Houston Chronicle diatribe:
"Clear argument. The Intelligence Organisation for the People is "hostile" and "The enemy".  I.e. the enemy is the people. Confirms our assessment that the Assange / Wikileaks  case is in reality US v. The People. Thank you Thiessen for clarifying."</t>
  </si>
  <si>
    <t>The truth needs no policy position, so there does not need to be an intent. We have a framework, and the framework has an intent. Nov 05, 2012</t>
  </si>
  <si>
    <t>Very few people understand the scale of the impact, because every country has had its own tremendous scandals. Nov 04, 2012</t>
  </si>
  <si>
    <t>Privacy or secrecy gives organisations an edge over actors who are hostile to them. Nov 03, 2012</t>
  </si>
  <si>
    <t>The government doesn’t have a right to secrets. Governments give rights to the people. Nov 02, 2012</t>
  </si>
  <si>
    <t>We are dealing with intelligence agencies that are very sophisticated. Nov 01, 2012</t>
  </si>
  <si>
    <t>Governments have the duty to enforce the rights of the people. Oct 31, 2012</t>
  </si>
  <si>
    <t>Addressing injustice on a mass scale I find pleasurable and satisfying. Oct 30, 2012</t>
  </si>
  <si>
    <t>The institutional value of most mainstream media organisations is to hoard information and keep it away from the public. Oct 29, 2012</t>
  </si>
  <si>
    <t>If you’re producing journalism with the goal of it producing justice, then you don’t want that goal undermined. Oct 28, 2012</t>
  </si>
  <si>
    <t>My view has always been that the organisation you’re exposing should not know before the victims. Oct 27, 2012</t>
  </si>
  <si>
    <t>British journalism…is the most creditstealing, credit-whoring, backstabbing industry I have ever encountered… Oct 26, 2012</t>
  </si>
  <si>
    <t>We specialise in undoing censorship. Oct 25, 2012</t>
  </si>
  <si>
    <t>I think that it is not possible to have a large powerful media group that isn’t corrupt. Oct 24, 2012</t>
  </si>
  <si>
    <t>Fundamentally mainstream media cannot be trusted to critique power that’s in the same nation that it is in. Oct 23, 2012</t>
  </si>
  <si>
    <t>The insiders know where the suppressed knowledge is and the insiders can bring it out. Oct 22, 2012</t>
  </si>
  <si>
    <t>WL tweet:  WikiLeaks has grave concerns about the state of health of our publisher, Julian Assange,</t>
  </si>
  <si>
    <t>Facebook in particular is the most appalling spying machine that has ever been invented. Oct 21, 2012</t>
  </si>
  <si>
    <t>Article</t>
  </si>
  <si>
    <t>WSWS</t>
  </si>
  <si>
    <t>We seek that information which is the most powerful at producing reform. Oct 20, 2012</t>
  </si>
  <si>
    <t>An institution makes decisions in order to increase the institutional power of the institution. Oct 19, 2012</t>
  </si>
  <si>
    <t>Censorship reveals the fear of reform by knowledge. Oct 18, 2012</t>
  </si>
  <si>
    <t>The corruption in reporting starts very early. It’s like the police reporting on the police. Oct 16, 2012</t>
  </si>
  <si>
    <t>We face a choice of whether we will have a civilization that is civil or not. Oct 15, 2012</t>
  </si>
  <si>
    <t>We are rapidly approaching a global surveillance society. Oct 14, 2012</t>
  </si>
  <si>
    <t>If wars can be started by lies, peace can be started by truth. Oct 13, 2012</t>
  </si>
  <si>
    <t>Text of letter from JA (to Gordon Dimmack)</t>
  </si>
  <si>
    <t>Image of letter</t>
  </si>
  <si>
    <t>We must think beyond those who have gone before us and discover technological changes that embolden us. . . Oct 12, 2012</t>
  </si>
  <si>
    <t>To deal with powerful conspiratorial actions we must think ahead and attack the process that leads to them. Oct 11, 2012</t>
  </si>
  <si>
    <t>It is the role of good journalism to take on powerful abusers. Oct 10, 2012</t>
  </si>
  <si>
    <t>Wikileaks is a mechanism to maximize the flow of information to maximize the amount of action leading to just reform. Oct 09, 2012</t>
  </si>
  <si>
    <t>We can pump out the truth in a volume that is great enough to quench the fire. Oct 08, 2012</t>
  </si>
  <si>
    <t>True information does good. Oct 07, 2012</t>
  </si>
  <si>
    <t>In the history of Wikileaks, nobody has claimed that the material being put out is not authentic. Oct 06, 2012</t>
  </si>
  <si>
    <t>These megaleaks… They’re an important phenomenon, and they’re only going to increase. Oct 05, 2012</t>
  </si>
  <si>
    <t>Wikileaks is designed to make capitalism more free and ethical. Oct 04, 2012</t>
  </si>
  <si>
    <t>Stopping leaks is a new form of censorship. Oct 03, 2012</t>
  </si>
  <si>
    <t>Intelligence agencies keep things secret because they often violate the rule of law or of good behavior. Oct 02, 2012</t>
  </si>
  <si>
    <t>If we have brains or courage, then we are blessed and called on not to frit these qualities away. Sep 30, 2012</t>
  </si>
  <si>
    <t>If journalism is good, it is controversial, by its nature. Sep 29, 2012</t>
  </si>
  <si>
    <t>And we can see that in the difference between what Wikileaks does and what the rest of the press does. Sep 28, 2012</t>
  </si>
  <si>
    <t>Website</t>
  </si>
  <si>
    <t>Wikileaks</t>
  </si>
  <si>
    <t>We in the West have deluded ourselves into believing that we actually have a truly free press. We don’t. Sep 27, 2012</t>
  </si>
  <si>
    <t>Actually getting documents is not so hard, the problem is publishing them and keeping them up in the face of attacks… Sep 26, 2012</t>
  </si>
  <si>
    <t>The basic structural relationships in highly developed Western countries are fiscal, they’re not political. Sep 25, 2012</t>
  </si>
  <si>
    <t>We can’t predict important aspects of our societal environment. Sep 24, 2012</t>
  </si>
  <si>
    <t>Society has grown beyond our ability to perceive it accurately. Sep 23, 2012</t>
  </si>
  <si>
    <t>We all have emotional instincts which react against our perceptions of the world. Sep 22, 2012</t>
  </si>
  <si>
    <t>Our particular view on the mechanism of transparency is to selectively go after material that is concealed. Sep 21, 2012</t>
  </si>
  <si>
    <t>The aim of Wikileaks is to achieve just reform around the world and do it through the mechanism of transparency. Sep 20, 2012</t>
  </si>
  <si>
    <t>What I feel is that even if the media doesn’t work, this thing is here for historians. . . Sep 19, 2012</t>
  </si>
  <si>
    <t>Because judgements which are not based upon the truth can only lead to outcomes which are themselves false. Sep 18, 2012</t>
  </si>
  <si>
    <t>And if we are to produce a more civilized society, a more just society, it has to be based upon the truth. Sep 17, 2012</t>
  </si>
  <si>
    <t>WikiLeaks responds to espionage act indictment against Assange: Unprecedented attack on free press</t>
  </si>
  <si>
    <t>What does censorship reveal? It reveals fear. Sep 16, 2012</t>
  </si>
  <si>
    <t>New indictments</t>
  </si>
  <si>
    <t>The goal is justice, the method is transparency. It’s important not to confuse the goal and the method. Sep 15, 2012</t>
  </si>
  <si>
    <t>TWEET</t>
  </si>
  <si>
    <t>Sweden is the Saudi Arabia of feminism. Sep 14, 2012</t>
  </si>
  <si>
    <t>In a case where the truth is on your side, what is most against you is lack of scrutiny, so I welcome the scrutiny. Sep 13, 2012</t>
  </si>
  <si>
    <t>Seeing ongoing political reforms that have a real impact on people all over the world is extremely satisfying. Sep 12, 2012</t>
  </si>
  <si>
    <t>It is impossible to correct abuses unless we know that they’re going on. Sep 11, 2012</t>
  </si>
  <si>
    <t>It is the media that controls the boundaries of what is politically permissible, so better to change the media. Sep 10, 2012</t>
  </si>
  <si>
    <t>You have to start with the truth. The truth is the only way that we can get anywhere. Sep 09, 2012</t>
  </si>
  <si>
    <t>You can’t publish a paper on physics without the full experimental data and results; that should be the standard in journalism. Sep 08, 2012</t>
  </si>
  <si>
    <t>Non-conformity is the only real passion worth being ruled by. Sep 07, 2012</t>
  </si>
  <si>
    <t>KH tweet: I find no satisfaction in saying ‘I told you so’ to those who for 9 years have scorned us for warning this moment would come. I care for journalism. If you share my feeling you take a stand NOW. Either you are a worthless coward or you defend Assange, WikiLeaks and Journalism</t>
  </si>
  <si>
    <t>There is unity in the oppression. There must be absolute unity and determination in the response. Sep 06, 2012</t>
  </si>
  <si>
    <t>If Bradley Manning did as he is accused, he is a hero and an example to us all and one of the world’s foremost political prisoners. Sep 05, 2012</t>
  </si>
  <si>
    <t>Capable, generous men do not create victims, they nurture victims. Sep 04, 2012</t>
  </si>
  <si>
    <t>What we know is everything, it is our limit of what we can be. Sep 03, 2012</t>
  </si>
  <si>
    <t>But not now; men in their prime, if they have convictions are tasked to act on them. Sep 02, 2012</t>
  </si>
  <si>
    <t>As Wikileaks stands under threat, so does the freedom of expression and the health of all our societies. Sep 01, 2012</t>
  </si>
  <si>
    <t>I support similarly minded people, not because they are moral agents, but because they have common cause with my own feelings and dreams. Aug 31, 2012</t>
  </si>
  <si>
    <t>Insofar as our decisions are an expression of who we are, we must make sure that we do not lack courage. Aug 30, 2012</t>
  </si>
  <si>
    <t>Every time we witness an injustice and do not act, we train our character to be passive in its presence. . . Aug 29, 2012</t>
  </si>
  <si>
    <t>To radically shift regime behavior we must think clearly and boldly. . . Aug 28, 2012</t>
  </si>
  <si>
    <t>If we can only live once, then let it be a daring adventure that draws on all our powers. Aug 27, 2012</t>
  </si>
  <si>
    <t>WL tweet: "This is madness. It is the end of national security journalism and the first amendment."</t>
  </si>
  <si>
    <t>In a modern economy it is impossible to seal oneself off from injustice. Aug 27, 2012</t>
  </si>
  <si>
    <t>#Assange #WikiLeaks this account will now commence tweeting one quote from Julian Assange each day. . it’s powered by cron, PHP and a TXT. Aug 27, 2012</t>
  </si>
  <si>
    <t>DA tweet: Fmr Ecuadorian Foreign Minister sums up Moreno's deception: not only did Moreno not obtain assurances from UK of no US extradition (as Moreno claimed a couple of months ago), now with the seizure of Assange's property Moreno shows he's actively aiding US persecution of Assange.</t>
  </si>
  <si>
    <t>Guillaume Long</t>
  </si>
  <si>
    <t>DA tweet: Observers report that Ecuador's "puppet show" at the embassy began under the cover of darkness after most of the cameras had left until 5.30am when embassy officials attempted to leave the embassy incognito.</t>
  </si>
  <si>
    <t xml:space="preserve">Ecuador to hand over Assange's entire legal defense to the United StatesWL: </t>
  </si>
  <si>
    <t>WL tweet: US Intelligence referred to Julian Assange as a journalist and WikiLeaks as media, in a classified report from 2008.</t>
  </si>
  <si>
    <t>KH tweet: The UK courts and tribunals recognise @wikileaks as media organisation and #Assange as a journalist. At least they get this right. So should everyone else.</t>
  </si>
  <si>
    <t>UK courts recognise Julian as journalist</t>
  </si>
  <si>
    <t>Images Appended</t>
  </si>
  <si>
    <t>2019 May 1: Per BBC: Assange's full letter of apology (on sentencing for breach of Bail warrant)</t>
  </si>
  <si>
    <t>WL tweet: Ecuador recorded the private conversations of Assange in the embassy. This included meetings with doctors and lawyers.</t>
  </si>
  <si>
    <t>Spying on Assange</t>
  </si>
  <si>
    <t>WL tweet: Icelandic court orders $US10m in damages to Wikileaks</t>
  </si>
  <si>
    <t>$10mill court WIN in Iceland</t>
  </si>
  <si>
    <t>WL tweet: Comment on redactions in Mueller Report:
"WikiLeaks has always been confident that this investigation would vindicate our groundbreaking publishing of the 2016 materials which it has, We disapprove of the large redactions which permit conspiracy theories to abound. Full transparency please."</t>
  </si>
  <si>
    <t>Mueller Report</t>
  </si>
  <si>
    <t>WL tweet: Searchable copy of Mueller Report</t>
  </si>
  <si>
    <t>YT</t>
  </si>
  <si>
    <t>Julian's pre-arrest words played at GUE/NGL Prize award  (Event date:16 Apr 2019)</t>
  </si>
  <si>
    <t>KH tweet: Spying cats! Demented stories about Assange are now being spread by president Lenin Moreno and his mob to brush over the disgraceful expulsion.</t>
  </si>
  <si>
    <t>Spying cats</t>
  </si>
  <si>
    <t>WL tweet: Embassy Cat is safe
"We can confirm that Assange's cat is safe. Assange asked his lawyers to rescue him from embassy threats in mid-October. They will be reunited in freedom."</t>
  </si>
  <si>
    <t>Embassy Cat</t>
  </si>
  <si>
    <t>Contains Video</t>
  </si>
  <si>
    <t>Barnaby Nerberker (RUPTLY) tweet: Footage of JA being carried from the embassy</t>
  </si>
  <si>
    <t>Contains the Ruptly video</t>
  </si>
  <si>
    <t>Ruptly</t>
  </si>
  <si>
    <t>RUPTLY: Footage of JA carried out - prone - by UK police, calling "UK Resist!"</t>
  </si>
  <si>
    <t>This is the only video footage of the event</t>
  </si>
  <si>
    <t>EVENT</t>
  </si>
  <si>
    <t>JULIAN ASSANGE ARRESTED
Ecuador purported to "suspend" Assange's citizenship, revoke his asylum status, and invited UK police into their London Embassy to arrest Julian Assange.</t>
  </si>
  <si>
    <t>RUPTLY: Wikileaks press briefing on extortion attempt on Wikileaks and invasion of Assange's privacy in the Ecuadorian Embassy</t>
  </si>
  <si>
    <t>EXtortion of Wikileaks and breach of privacy of JA</t>
  </si>
  <si>
    <t>WL tweet: Threatening letters to Assange from Ecuador Embassy</t>
  </si>
  <si>
    <t>Threats to Julian</t>
  </si>
  <si>
    <t>WL tweet: [VIDEO] Defend Assange</t>
  </si>
  <si>
    <t>Includes VIDEO</t>
  </si>
  <si>
    <t>WL tweet: UN Special Rapporteurs on Torture &amp;  Privacy will visit the embassyApril 25</t>
  </si>
  <si>
    <t>Planned UN visits</t>
  </si>
  <si>
    <t>Due 25 Aor 2019</t>
  </si>
  <si>
    <t>WL tweet: The Guardian finally gets it. WikiLeaks staff extradited = Guardian staff extradited.</t>
  </si>
  <si>
    <t>KH tweet: It took @guardian 7 years to accept Assange faces the threat of extradition to the US - and oppose it.</t>
  </si>
  <si>
    <t>AD tweet: Shorter Ecuador: We've placed Assange in 60 hours straight solitary confinement every week,</t>
  </si>
  <si>
    <t>DA tweet: More footage on OpKudo - the UK government effort to arrest and extradite Assange which has squandered more than 20 million pounds</t>
  </si>
  <si>
    <r>
      <t xml:space="preserve">WL tweet (VIDEO): </t>
    </r>
    <r>
      <rPr>
        <b/>
        <color rgb="FFFF0000"/>
      </rPr>
      <t>Armed police enter embassy</t>
    </r>
    <r>
      <t xml:space="preserve"> (pre-dates arrest on 11 April)</t>
    </r>
  </si>
  <si>
    <t>Gateway Pundit: CF: Leaked Assange Court Transcript Sheds Light on US-Backed Ecuadorian Expulsion Plan</t>
  </si>
  <si>
    <t>WL tweet: UN releases damning timeline showing that it started investigation into Ecuador for violating Assange's rights, asked Ecuador to see him, wasn't able to</t>
  </si>
  <si>
    <t>WL tweet: WikiLeaks has obtained agreed press strategy (against Assange)</t>
  </si>
  <si>
    <t>WL tweet: Newspaper claim UK police have "rented an apartment overlooking the Embassy's front door"</t>
  </si>
  <si>
    <t>WL tweet: Source: Julian Assange will be expelled within "hours to days" using  the #INAPapers offshore scandal as a pretext</t>
  </si>
  <si>
    <t>COURAGE: Ecuador twists embarrassing INA Papers into pretext to oust Assange</t>
  </si>
  <si>
    <t>WL tweet: UN Special Rapporteur on Privacy is due to visit Assange on Wednesday</t>
  </si>
  <si>
    <t>WL tweet: Ecuador''s President Lenin Moreno stated today that Assange has "violated the 'conditions' of his asylum"</t>
  </si>
  <si>
    <t>AD tweet: Ecuadorian state media continues its week long campaign to hand Julian Assange over to US authorities.</t>
  </si>
  <si>
    <t>RT: WL Editor KH: Media Has LOST ALL TRUST After Russiagate Hysteria, is.. Assange in danger?</t>
  </si>
  <si>
    <t xml:space="preserve">COURAGE (pdf):Briefing for the Council of Europe </t>
  </si>
  <si>
    <t>WL tweet: Moreno: The INA papers
Corruption investigation opened against Ecuador's president Moreno, after purported leaked contents of his iPhone (Whatsapp, Telegram) &amp; Gmail were published. New York Times reported that Moreno tried to sell Assange to US for debt relief.</t>
  </si>
  <si>
    <t>COURAGE: Briefing for the London Assembly: Wny Opposing Julian Assange's Extradition to the US Matters for London and the UK</t>
  </si>
  <si>
    <t>DA tweet: US mock trial of Julian Assange. "This is so bad, it's good. Do many universities do this? They should!"</t>
  </si>
  <si>
    <t>WL/Courage (pdf): The “Assange Precedent”: The threat to the Media posed by Trump's prosecution of Julian Assange</t>
  </si>
  <si>
    <t xml:space="preserve">2019 Mar 15: WL tweet: Pompeo and ICC
Secretary of State Pompeo today said U.S. will revoke or deny visas to International Criminal Court (ICC) personnel who attempt to investigate alleged abuses committed by U.S. forces in Afghanistan and Israel. 
</t>
  </si>
  <si>
    <t>ICC</t>
  </si>
  <si>
    <t>WL tweet: London Police secretly collaborated with US prosecutors against WikiLeaks' journalists, tried to cover it up</t>
  </si>
  <si>
    <t>London Police</t>
  </si>
  <si>
    <t>KH tweet: Bolton said in 2012 that Chelsea Manning should be killed</t>
  </si>
  <si>
    <t>Chelsea Manning</t>
  </si>
  <si>
    <t>KH tweet re Guardian and Chelsea Manning</t>
  </si>
  <si>
    <t>WL tweet re KH statement on jailing of Chelsea Manning</t>
  </si>
  <si>
    <t>WL (pdf): Updated list of False Statements and Defamations</t>
  </si>
  <si>
    <t>Defamation</t>
  </si>
  <si>
    <t>WL (pdf):  What has WikiLeaks revealed about David Cameron and the Conservatives?</t>
  </si>
  <si>
    <t>David Cameron (UK)
Conservative Party (UK)</t>
  </si>
  <si>
    <t>WL (pdf): What has WikiLeaks revealed about the Blair and Brown governments?</t>
  </si>
  <si>
    <t>Blair govt (UK)
Brown govt (UK)</t>
  </si>
  <si>
    <t>WL Tweet:  Tulsi Gabbard - "WL spurred necessary change"</t>
  </si>
  <si>
    <t>Tulsi Gabbard</t>
  </si>
  <si>
    <t>WL tweet: CIA copy of Covert Action Quarterly (CAQ) #25 (1986) on the Sovereign Military Order of Malta ("Knights of Malta" or SMOM) from page 27 to page 38. Author writing under a declared pseudonym. Accuracy unknown.</t>
  </si>
  <si>
    <t>Knights of Malta</t>
  </si>
  <si>
    <t>WL tweet: The Inter-American Commission on Human Rights (@IACHumanRights) has given Ecuador five days to answer seven questions on threats against Julian Assange's asylum after moves to sell Julian Assange to US government for "debt relief".</t>
  </si>
  <si>
    <t>Inter-American court. Ecuador</t>
  </si>
  <si>
    <t>Release of Pope's Orders</t>
  </si>
  <si>
    <t>Vatican</t>
  </si>
  <si>
    <t>TwitLonger</t>
  </si>
  <si>
    <t>WL Media Release: ASSANGE MOVES TO FORCE TRUMP ADMINISTRATION TO REVEAL CHARGES AND TO COMPEL ECUADOR TO PREVENT EXTRADITION TO U.S.</t>
  </si>
  <si>
    <t>AD * WL Tweets: :  re US subpoenas for Ecuador Embassy staff. "We can confirm that the U.S. Department of Justice has issued an international subpoena for six diplomatic staff who were in the embassy with Julian Assange following a false story planted in Guardian of secret meetings between Assange and Manafort in 2013, 2015 and 2016."</t>
  </si>
  <si>
    <t>US subpoenas</t>
  </si>
  <si>
    <t>FUNDS</t>
  </si>
  <si>
    <t>New GoFundMe - Julian Assange &amp; WikiLeaks Public Defense Fund</t>
  </si>
  <si>
    <t>GFM - Assange Defence</t>
  </si>
  <si>
    <t>LINK - Twitter</t>
  </si>
  <si>
    <t>WL Tweet:  Chessboard cartoon.
See parallel to chess tweet 12 Jan 2018</t>
  </si>
  <si>
    <t>Chess / strategy</t>
  </si>
  <si>
    <t>WL KH Tweet: Some @wikileaks legal challenges 2019: Assange's indictment exposed as persecution. DNC case dismissed as propaganda. @guardian's false Manafort story crushed in court. Victory in banking blockade litigation (against Valitor, frm. VISA Iceland). But most important: Free Assange.</t>
  </si>
  <si>
    <t>NY challenges</t>
  </si>
  <si>
    <t xml:space="preserve">WL Tweet: "In echoes of @WikiLeaks, new FOIA shows FBI investigated @VillageVoice magazine and @RCFP under the so-called 'espionage act' for the 1976 publication of classified information on the CIA </t>
  </si>
  <si>
    <t>Espionage Act</t>
  </si>
  <si>
    <t>WL Tweet: "By ignoring the UN's repeated calls to free Julian Assange the UK gov is seriously undermining the battle for human rights. This has serious consequences for British citizens abroad. Why should other nations honour such calls when UK shows such contempt?"</t>
  </si>
  <si>
    <t>UNHR statement</t>
  </si>
  <si>
    <t>WL Tweet re latest Guardian Fake News re JA &amp; Russia</t>
  </si>
  <si>
    <t>Guardian Manafort story</t>
  </si>
  <si>
    <t>WL Tweet to Savid David re his response to the UNHR statement</t>
  </si>
  <si>
    <t>UK &amp; UNHR statement</t>
  </si>
  <si>
    <t>Release of US Embassy Shopping List</t>
  </si>
  <si>
    <t>WL-Tweet: BREAKING: UN issues statement demanding UK immediately cease trying to arrest Julian Assange</t>
  </si>
  <si>
    <t>WL Tweet: GENEVA  (21 December 2018) – UN human rights  experts today repeated a demand  that the UK abides by its international  obligations and immediately  allows Wikileaks founder Julian Assange to walk free"</t>
  </si>
  <si>
    <t>WL-KH tweet: Twitter accounts down. "These accounts are locked @wikileaks @assangedefence @wltaskforce @assangelegal and cannot be accessed. They also seem to have been shadow banned. Should we be worried in these critical times?"</t>
  </si>
  <si>
    <t>Twitter censorship</t>
  </si>
  <si>
    <t>IMAGE</t>
  </si>
  <si>
    <t>Image of Julian via link to Quito court (no video or transcript available)</t>
  </si>
  <si>
    <t>New GoFundMe - Help WikiLeaks Fight the DNC</t>
  </si>
  <si>
    <t>GFM - Fight the DNC</t>
  </si>
  <si>
    <t>WL tweet: Re Interpol and Correa</t>
  </si>
  <si>
    <t>WL tweet: "Ecuador's immediately former president responds to NYT report that his successor offered to sell WikiLeaks' publisher Julian Assange's to the U.S. government in exchange for debt relief. Subsequently Ecuador received $1.1 billion from US controlled banks."</t>
  </si>
  <si>
    <t>EVENT: George W Bush dies</t>
  </si>
  <si>
    <t>New GoFundMe - Help WikiLeaks Sue Guardian Over Fabricated Story</t>
  </si>
  <si>
    <t>GFM - Sue the Guardian</t>
  </si>
  <si>
    <t>WL Tweets re Manafort story (parts 2 &amp; 3)</t>
  </si>
  <si>
    <t>WL Tweet re Guardian story about Manafort:
 "Remember this day when the Guardian permitted a serial fabricator to totally destroy the paper's reputation. @WikiLeaks is willing to bet the Guardian a million dollars and its editor's head that Manafort never met Assange."</t>
  </si>
  <si>
    <t>WL Tweet re Resource: US government v. WikiLeaks: 2,317 documents https://usavwl.couragefound.org/ "</t>
  </si>
  <si>
    <t>WL Tweet re Ecuador's government has refused Julian Assange's lawyers access to him this weekend to prepare for his US court hearing on Tuesday."</t>
  </si>
  <si>
    <t>WL Tweet re UK knowledge of US indictment</t>
  </si>
  <si>
    <t>WL Tweet re Steele judgment and 1st amendment</t>
  </si>
  <si>
    <t>WL Tweet re CIA and Vault 7</t>
  </si>
  <si>
    <t>WL Tweet US Jurisdiction</t>
  </si>
  <si>
    <t>JA/AD Tweet re first visitor under "new protocol"</t>
  </si>
  <si>
    <t>WLTweets re International Arbitration comments from Ecuador</t>
  </si>
  <si>
    <t>Wikileaks
Assange Defence</t>
  </si>
  <si>
    <t>Scribd</t>
  </si>
  <si>
    <t>2018 Oct 29: Ecuador Court Transcript</t>
  </si>
  <si>
    <t>DA tweet: VIDEO (English subtitles): Ramiro Rivadeneira, former Ombudsman of #Ecuador</t>
  </si>
  <si>
    <t>WL Tweet: Democrats pressure Ecuador to hand over Assange</t>
  </si>
  <si>
    <t>DEMOCRATS urging Rcuador to hand over Assange</t>
  </si>
  <si>
    <t>WL Tweet: Assange still isolated despite Ecuador's promise.</t>
  </si>
  <si>
    <t>WL Tweet:  re BBC Fake news story (re cat)</t>
  </si>
  <si>
    <t>Threat to take JA's pet</t>
  </si>
  <si>
    <t>WL Tweet re Moreno explanation for cutting off all communications for Julian Assange</t>
  </si>
  <si>
    <t>Wikileaks
Julian Assange
Lenin Moreno</t>
  </si>
  <si>
    <t>DA tweet: Ecuador's president Moreno directly admits to AP he has isolated Julian Asange for the last six months</t>
  </si>
  <si>
    <t>ANNOUNCEMENT: Assange appoints Hrafnsson Editor-in-Chief after six months of effective incommunicado detention, remains publisher</t>
  </si>
  <si>
    <t>Julian Assange
Kristinn Hrafnsson</t>
  </si>
  <si>
    <t>WK Twwet re Amnesty International statement</t>
  </si>
  <si>
    <t>Amnesty International</t>
  </si>
  <si>
    <t>WL Tweet re BBC attempts to instal permanenet camera opposite embassy</t>
  </si>
  <si>
    <t>Surveillance</t>
  </si>
  <si>
    <t>Wikileaks
BBC</t>
  </si>
  <si>
    <t xml:space="preserve">DA tweet re Moreno and extradition
In interview today with El Pais President Moreno says his "ideal solution" is that @JulianAssange is "extradited" (this is not a translation error), after (according to his other comments) the UK promises the US won't kill him. </t>
  </si>
  <si>
    <t>WL Tweet: IA Inter-American Court of Human Rights Ruling "Huge win today "</t>
  </si>
  <si>
    <t>IA Court of Human Rights win</t>
  </si>
  <si>
    <t xml:space="preserve">WL Tweet re 'Grab Team' footage </t>
  </si>
  <si>
    <t>What drove Julian Assange to seek asylum?</t>
  </si>
  <si>
    <t>Wkileaks</t>
  </si>
  <si>
    <t>COMUNICADO OFICIAL | El Gobierno de Ecuador suspende las comunicaciones de @JulianAssange.</t>
  </si>
  <si>
    <t>Communication, Ecuador</t>
  </si>
  <si>
    <t>Julian Assange, Gobierno Ecuador,</t>
  </si>
  <si>
    <t>Bergen, NORWAY &amp; videolink to EoE</t>
  </si>
  <si>
    <t>Not found here: https://www.cancilleria.gob.ec/category/comunicadosoficiales/</t>
  </si>
  <si>
    <t xml:space="preserve">
</t>
  </si>
  <si>
    <t>JULIAN ASSANGE GAGGED by Ecuador</t>
  </si>
  <si>
    <t>54:02</t>
  </si>
  <si>
    <t>TAPE: Assange's last video before communications cut at Ecuadorian Embassy in London (FULL) Courtesy: RT and World Ethical Data Forum. Anomysmous Scandanadia give the event / date as "The future of Cyber-security Europe" 15 March 2018 (https://twitter.com/AnonScan/status/973590420864331776</t>
  </si>
  <si>
    <t>Communications
Encryption</t>
  </si>
  <si>
    <t>Julian Assange</t>
  </si>
  <si>
    <t>EoE</t>
  </si>
  <si>
    <t>Streamed by RT 20 Sept 2018 but source date uknown (Assange refers to bail decsion (28 Feb 2018) as "a few weeks ago."</t>
  </si>
  <si>
    <t>48:37</t>
  </si>
  <si>
    <t>Speech by Mr. Julian Assange at the #ElevateFestival</t>
  </si>
  <si>
    <t>EoE
Graz, Austria</t>
  </si>
  <si>
    <t>JA tweet: Chessboard | Game depicted is from NY game Jose Raul Capablanca v Frank James Marshall (1918).  Jose was from Cuba and Frank was from the US. Jose played white and won the match (see https://twitter.com/johnfullerroot/status/952066249160380416)</t>
  </si>
  <si>
    <t>JA Tweet: Photo of JA in Ecuador futbol shirt (signalling Ecuadorian citizenship)</t>
  </si>
  <si>
    <t>Citizenship</t>
  </si>
  <si>
    <t>WL Tweet: Twitter policy | New Twitter policy to back war crimes: Free pass given to hyper-dominant armed groups which promote violence. Supporters of weaker groups that resist them using identical tactics are to be eliminated.</t>
  </si>
  <si>
    <t>Twitter policy</t>
  </si>
  <si>
    <t>2:40:40</t>
  </si>
  <si>
    <t>The Holberg Debate 2017: "Propaganda, Facts and Fake News" with J. Assange, J. Pilger &amp; J. Heawood</t>
  </si>
  <si>
    <t>Propaganda, 
Social Media</t>
  </si>
  <si>
    <t>Julian Assange, John Pilger, Jonathan Heawood</t>
  </si>
  <si>
    <t>JA speech at 11:00</t>
  </si>
  <si>
    <t>The Pozner interview  Познер - Гость Джулиан Ассанж.  Выпуск от</t>
  </si>
  <si>
    <t>Purpose of Wikileaks</t>
  </si>
  <si>
    <t>Julian Assange
Vladimir Pozner</t>
  </si>
  <si>
    <t>Dubbed in Russian</t>
  </si>
  <si>
    <t>DN</t>
  </si>
  <si>
    <t xml:space="preserve">DEMOCRACY NOW: As Catalonia Plans Independence from Spain, JA Advises Organisers on secure messaging. </t>
  </si>
  <si>
    <t>Catalonia,
encryption, Franco facism</t>
  </si>
  <si>
    <t>Bar Assoc</t>
  </si>
  <si>
    <t>US and videolink to EoE</t>
  </si>
  <si>
    <t>Contains small vid tweeted out by JA to Catalonia (with captions in Catalan)</t>
  </si>
  <si>
    <t>IBA: A conversation with… Julian Assange - "What if... a large state...</t>
  </si>
  <si>
    <t>Russiagate</t>
  </si>
  <si>
    <t>Sydney &amp; videolink to EoE</t>
  </si>
  <si>
    <t>RonPaul</t>
  </si>
  <si>
    <t>RonPaul Institute: Address to 2017 Confrence</t>
  </si>
  <si>
    <t>War spending</t>
  </si>
  <si>
    <t>US &amp; EoE by videolink</t>
  </si>
  <si>
    <t>0:25</t>
  </si>
  <si>
    <t>Assange G20 cyber war talk evacuated by building security and police 07/07/17 8:45pm</t>
  </si>
  <si>
    <t>Interrupted speech at G20</t>
  </si>
  <si>
    <t>TWEETS</t>
  </si>
  <si>
    <t>JULIAN ASSANGE BLASTS TWITTER CEO JACK DORSEY, CLINTON &amp; OTHERS FOR "CENSORSHIP DOUBLE STANDARDS" &amp; DEATH THREATS</t>
  </si>
  <si>
    <t>Assassination threats against Julian Assange
Twitter censorship.</t>
  </si>
  <si>
    <t>28:16</t>
  </si>
  <si>
    <t>[EXCERPT} Žižek, Assange &amp; M.I.A. on AI Controlled Social Media at Meltdown Festival</t>
  </si>
  <si>
    <t>Social Media 
AIs</t>
  </si>
  <si>
    <t>MIA (Host)
Julian Assange
Slavoj Žižek
Srecko Horvatt</t>
  </si>
  <si>
    <t>Festival Hall and EoE by videolink</t>
  </si>
  <si>
    <t>Meltdown Festival</t>
  </si>
  <si>
    <t>10:40</t>
  </si>
  <si>
    <t>RT: "I will not forgive or forget" - Assange speaks from the balcony of the London Embassy.
Julian Assange speaks following Swedish prosecutors dropping their case on him. He's now said we will work with US Justice Department on their case on him.</t>
  </si>
  <si>
    <t>Julian's children
Extradition
Chelsea Manning</t>
  </si>
  <si>
    <t>London EoE</t>
  </si>
  <si>
    <t>This is also the publication dayfor Vault 7 
Also the week Chelsea Manning released from jail.</t>
  </si>
  <si>
    <t>RONPAUL LIBERTYREPORT: EXCERPT: The case against Wikileaks</t>
  </si>
  <si>
    <t>DOJ, CIA</t>
  </si>
  <si>
    <t>Julian Assange
Ron Paul</t>
  </si>
  <si>
    <t>27:07</t>
  </si>
  <si>
    <t>RONPAUL LIBERTYREPORT: FULL: The case against Wikileaks</t>
  </si>
  <si>
    <t>DOJ, CIA ""Non-state intelligence service", 1st Amendment</t>
  </si>
  <si>
    <t>WaPo</t>
  </si>
  <si>
    <t>WaPo OpEd:Julian Assange: The CIA director is waging war on truth-tellers like WikiLeaks</t>
  </si>
  <si>
    <t>AUDIO</t>
  </si>
  <si>
    <t>DN: AUDI from Intercept at 20:38 JA responds to Pompeo threats</t>
  </si>
  <si>
    <t>CIA / Pompeo threats</t>
  </si>
  <si>
    <t>Julian Assange
Amy Goodman
Glenn Greenwald</t>
  </si>
  <si>
    <t>US. Brasil &amp; EoE via videolink</t>
  </si>
  <si>
    <t>41:25</t>
  </si>
  <si>
    <t>DEMOCRACY NOW: Julian Assange on Trump, DNC Emails, Russia, the CIA, Vault 7 &amp; More</t>
  </si>
  <si>
    <t>Trump, 
DNC emails,
Russiagate, 
Vault 7</t>
  </si>
  <si>
    <t xml:space="preserve">Julian Assange
Amy Goodman
Juan Gonzalez
</t>
  </si>
  <si>
    <t>US woth videolink to EoE</t>
  </si>
  <si>
    <t>Julian Assange Press Conference and Q&amp;A on Vault 7, Year Zero and the CIA (03-09-2017)</t>
  </si>
  <si>
    <t>Vault 7</t>
  </si>
  <si>
    <t>Livestream from EoE</t>
  </si>
  <si>
    <t>1:28</t>
  </si>
  <si>
    <t>PBS: During a digital news conference on Thursday, Wikileaks' Julian Assange announced that he would give tech companies details of the hacking tools used by the CIA in order to help the companies build safeguards.</t>
  </si>
  <si>
    <t>Moderator: Jérémie Zimmermann</t>
  </si>
  <si>
    <t>USA with videolink to EoE</t>
  </si>
  <si>
    <t>Interview on The Project (AU)</t>
  </si>
  <si>
    <t>Virtual tour of Australia
Chelsea Manning clemency</t>
  </si>
  <si>
    <t>Julian Assange
Waleed Aly</t>
  </si>
  <si>
    <t>Australia with videolink to EoE</t>
  </si>
  <si>
    <t>During the Virtual tour of AU Assange made 3(?) paid appearances by videolink to live ausudiences</t>
  </si>
  <si>
    <t>ArchiveTV</t>
  </si>
  <si>
    <t>58;49</t>
  </si>
  <si>
    <r>
      <t xml:space="preserve">Julian Assange Alive </t>
    </r>
    <r>
      <rPr>
        <b/>
      </rPr>
      <t>AMA Jan 10th 2017</t>
    </r>
  </si>
  <si>
    <t>Snowden</t>
  </si>
  <si>
    <t>CLIP from AMA Jan 10th 2017- Releasing DNC emails</t>
  </si>
  <si>
    <t>CLIP from AMA Jan 10th 2017- Republican campaign info</t>
  </si>
  <si>
    <t>CLIP from AMA Jan 10th 2017- Proof of Life/Black PR Discussion Part 1</t>
  </si>
  <si>
    <t>CLIP from AMA Jan 10th 2017- Proof of Life Discussion Part 2</t>
  </si>
  <si>
    <t>CLIP from AMA Jan 10th 2017- Privacy</t>
  </si>
  <si>
    <t>CLIP from AMA Jan 10th 2017- Panama Papers</t>
  </si>
  <si>
    <t>CLIP from AMA Jan 10th 2017- missing Garani Massacre (Afganistan) video</t>
  </si>
  <si>
    <t>CLIP from AMA Jan 10th 2017- WikiLeaks Team / first internet cut-off</t>
  </si>
  <si>
    <t>CLIP from AMA Jan 10th 2017- Russia</t>
  </si>
  <si>
    <t>CLIP from AMA Jan 10th 2017- Embassy Environment &amp; Security</t>
  </si>
  <si>
    <t>CLIP from AMA Jan 10th 2017- Edward Snowden</t>
  </si>
  <si>
    <t>FOX</t>
  </si>
  <si>
    <t>43:12</t>
  </si>
  <si>
    <t>Julian Assange With Sean Hannity | Fox News</t>
  </si>
  <si>
    <t>Russia connection?</t>
  </si>
  <si>
    <t>Julian Assange
Sean Hannity</t>
  </si>
  <si>
    <t>"Our source is not the Russian government."</t>
  </si>
  <si>
    <t>Nocaute</t>
  </si>
  <si>
    <t>53:34</t>
  </si>
  <si>
    <t>NOCAUTE: Julian Assange Interview with Fernando Morais on Nocaute TV</t>
  </si>
  <si>
    <t>Brasil - Politics, Chevron Petrobras</t>
  </si>
  <si>
    <t>Julian Assange
Fernando Morais</t>
  </si>
  <si>
    <t>In Portuguese and English</t>
  </si>
  <si>
    <t>Republica</t>
  </si>
  <si>
    <t>REPUBLICA: The interview. The Wikileaks cofounder: "Our source Chelsea Manning tortured in Usa"</t>
  </si>
  <si>
    <t>Julian Assange
di Stefania Maurizi</t>
  </si>
  <si>
    <t>55:58</t>
  </si>
  <si>
    <t>Free Connected Minds conference organized annually by the May Chidiac Foundation on Nov 26th, 2016. Session moderated by Youmna Nafal, the head of the English News at Future Television, Lebanon.</t>
  </si>
  <si>
    <t>Julian Assange
Younma Nafal</t>
  </si>
  <si>
    <t>Beirut, LEBANON and video link to EoE</t>
  </si>
  <si>
    <t>Wikileaks Statement ofn the US Elections</t>
  </si>
  <si>
    <t>US Elections / DNC leaks</t>
  </si>
  <si>
    <t>?</t>
  </si>
  <si>
    <t>24:52</t>
  </si>
  <si>
    <t>RT: Secret World of US Election: Julian Assange talks to John Pilger</t>
  </si>
  <si>
    <t>Clinton emails Swedish case, 
Isolation,</t>
  </si>
  <si>
    <t>Julian Assange,
John Pilger</t>
  </si>
  <si>
    <t>Last week of the US Presidential campaign</t>
  </si>
  <si>
    <t>WL: Donald Trump, October 10, 2016: "This just came out. WikiLeaks! I love WikiLeaks!"</t>
  </si>
  <si>
    <t>Donald Trump
Wikileaks</t>
  </si>
  <si>
    <t>Campaign speech</t>
  </si>
  <si>
    <t>1:54:35</t>
  </si>
  <si>
    <t>Assange speaks at WikiLeaks’ 10th anniversary in Berlin</t>
  </si>
  <si>
    <t>London EoE
Berlin</t>
  </si>
  <si>
    <t>10th birthday of Wikileaks</t>
  </si>
  <si>
    <t>30 Sept 2016</t>
  </si>
  <si>
    <t>Spiegel</t>
  </si>
  <si>
    <t>SPEIGEL: 'We Believe in What We're Doing'</t>
  </si>
  <si>
    <t>FOX &amp; FRIENDS</t>
  </si>
  <si>
    <t>Releases before the US election</t>
  </si>
  <si>
    <t>Assange with RANDY CREDICO</t>
  </si>
  <si>
    <t>US Elections.
Russia publications</t>
  </si>
  <si>
    <t>ElTelegrafo</t>
  </si>
  <si>
    <t>EL TELEGRAFO "When I leave, I will visit Rafael Correa"</t>
  </si>
  <si>
    <t>Restrictions as an asylee</t>
  </si>
  <si>
    <t>Julian Assange on Seth Rich</t>
  </si>
  <si>
    <t>Seth Rich</t>
  </si>
  <si>
    <t xml:space="preserve">Julian Assange
</t>
  </si>
  <si>
    <t>Dutch television program Nieuwsuur</t>
  </si>
  <si>
    <t>33:02</t>
  </si>
  <si>
    <t>Jullian Assange addressing the Green Party National Convention</t>
  </si>
  <si>
    <t>Election related mail leaks</t>
  </si>
  <si>
    <t>Bad sound first 3 mins</t>
  </si>
  <si>
    <t>YU</t>
  </si>
  <si>
    <t>47:58</t>
  </si>
  <si>
    <t>RY:GOING UNDERGRUND: Afshin Rattansi interviews Julian Assange</t>
  </si>
  <si>
    <t>Julian Assange
Afshin Rattansi</t>
  </si>
  <si>
    <t>Transcript needs checking</t>
  </si>
  <si>
    <t>29:44</t>
  </si>
  <si>
    <t>DEMOCRACY NOW: WikiLeaks’ Julian Assange on Releasing DNC Emails That Ousted Debbie Wasserman Schultz</t>
  </si>
  <si>
    <t>DWS resigns</t>
  </si>
  <si>
    <t>Julian Assange 
Amy Goodman</t>
  </si>
  <si>
    <t>DEMOCRACY NOW: [16:36} Assange: Why I Created WikiLeaks’ Searchable Database of 30,000 Emails from Clinton’s Private Server</t>
  </si>
  <si>
    <t xml:space="preserve">Clinton emails
</t>
  </si>
  <si>
    <t>Julian Assange
Amy Goodman
Juan Gonzalez</t>
  </si>
  <si>
    <t>US, with videolink to EoE</t>
  </si>
  <si>
    <t xml:space="preserve"> Week of opening of Democratic Convention, resignation of DWS, </t>
  </si>
  <si>
    <t>DEMOCRACY NOW: Choosing Between Trump or Clinton is Like Picking Between Cholera or Gonorrhea</t>
  </si>
  <si>
    <t>Release of DNC Emails commences</t>
  </si>
  <si>
    <t>WL Tweet: Have more than 1,000,000 followers? Want early access to our pending Hillary Clinton publications? DM @Wikileaks</t>
  </si>
  <si>
    <t>Clinton emails</t>
  </si>
  <si>
    <t>DIEM 25 Brussels (but also broadcast at the other 9 city conferences held simultaneously)</t>
  </si>
  <si>
    <t>Julian Assange followed by Guilliam Long</t>
  </si>
  <si>
    <t>Brussels etc videolink to the EoE</t>
  </si>
  <si>
    <t>There is also a lot more on this long video</t>
  </si>
  <si>
    <t>Teleconference with Argentina  (EN &amp; ES]</t>
  </si>
  <si>
    <t>Brexit
Argentina
Official cats</t>
  </si>
  <si>
    <t xml:space="preserve">Julian Assange
Alicia
Karen (interpreter)
</t>
  </si>
  <si>
    <t>Buenos Aires &amp; EoE by videolink</t>
  </si>
  <si>
    <t>7:22:56</t>
  </si>
  <si>
    <t>Brexit Club Livestream</t>
  </si>
  <si>
    <t>TPP info at 35:02 
The Great Escape (banking blockade) 1:13:05
TTIP 3:19:13</t>
  </si>
  <si>
    <t>Julian Assange
Vivian Westwood
Afshin Rattansi
Cenk Uygur (Young Turks) 46:33
David Graeber 1:04:22
Pablo Bustinduy (Podemos, Spain) 1:21:29
Ben Griffin 1:40:56
Christophe Marchand (lawyer, Brussels) 1:53:53
Johannes Wahlström (Sweden - "Medistan") 2:22:37
Charlie Skelton (@deYook) (Bildeberg) 2:37:45
Vaughn Smith (FRontline Club) 3:31:12
Yanis Varoufakis (Greece) DIEM25 4:23:20
Craig Murray(Scotland 
Naomi Colvin (UK) Courage Foundation
Srećko Horvat (Croatia) DIEM25
Cody Wilsom (US) Bitcoin, Libertarian 5:10:11
What is the future of Europe: 6:13:05</t>
  </si>
  <si>
    <t xml:space="preserve">NY 'First They Came For Assange' panel
hosted by Amy Goodman
</t>
  </si>
  <si>
    <t>Amy Goodman
Julian Assange</t>
  </si>
  <si>
    <t>Julian Assange states, on ITV Peston, that 
"We have emails related to Hillary Clinton which are pending publication. That is correct."</t>
  </si>
  <si>
    <t>Hillary related emails</t>
  </si>
  <si>
    <t>The video on website won't load with adblockers</t>
  </si>
  <si>
    <t>ITV PESTON on SUNDAY: Julian Assange Says 'More Clinton leaks to come' (Excerpt)</t>
  </si>
  <si>
    <t>Julian Assange
Robert Peston</t>
  </si>
  <si>
    <t>5:26</t>
  </si>
  <si>
    <t>MOSCOW: New Era of Journalism: Farewell to Mainstream forum</t>
  </si>
  <si>
    <t>Moscow with link to EoE</t>
  </si>
  <si>
    <t>No offical video of this presentation available</t>
  </si>
  <si>
    <t>Al Jazeera</t>
  </si>
  <si>
    <t>Julian Assange on the Panama Papers - The Listening Post (Feature)</t>
  </si>
  <si>
    <t>Panama Papers</t>
  </si>
  <si>
    <t>link to EoE</t>
  </si>
  <si>
    <r>
      <t xml:space="preserve">Julian Assange in </t>
    </r>
    <r>
      <rPr>
        <b/>
      </rPr>
      <t>Digital Dissidents</t>
    </r>
    <r>
      <t xml:space="preserve"> (Pt1)</t>
    </r>
  </si>
  <si>
    <t>Whistleblowing</t>
  </si>
  <si>
    <t>Julian Assange
Edward Snowden
Thomas Drake
Other whistleblowers</t>
  </si>
  <si>
    <t>WikiLeaks launched a searchable archive for over 30k emails &amp; email attachments sent to and from Hillary Clinton's private email server while she was Secretary of State. 
The emails were made available in the form of thousands of PDFs by the US State Department as a result of a FOIA request. 
More PDFs were made available on February 29, 2016, and a set of additional 995 emails was imported up to February 2, 2018.</t>
  </si>
  <si>
    <t>11-12 Mar 2016</t>
  </si>
  <si>
    <t>1:20:38</t>
  </si>
  <si>
    <t xml:space="preserve">Logan CIJ Symposium 2016
</t>
  </si>
  <si>
    <t>Julian Assange
David Mirza Ahmad, 
Alison Macrina 
Jérémie Zimmermann</t>
  </si>
  <si>
    <t>Julian Assange at founding of DIEM25
Also announces statement from UNHRC</t>
  </si>
  <si>
    <t>DIEM25
Europe
US plan to invade Libya</t>
  </si>
  <si>
    <t>VideoLink</t>
  </si>
  <si>
    <t>"Winter is coming to Europe. War is coming to Europe"</t>
  </si>
  <si>
    <t>Julian Assange appears at the Press Conference for the Release of the UNWGAD Report</t>
  </si>
  <si>
    <t>UNWGAD Report</t>
  </si>
  <si>
    <t>Julian Assange
Multiple Lawyers</t>
  </si>
  <si>
    <t>London and EoE by videolonk</t>
  </si>
  <si>
    <t>Vimeo</t>
  </si>
  <si>
    <t>EUROPE series: The End of Democracy</t>
  </si>
  <si>
    <t>Technology</t>
  </si>
  <si>
    <t>Julian Assange, Sebastian Kaiser, Angela Richter und Srećko Horvat</t>
  </si>
  <si>
    <t>Berlin &amp; EoE by videolink</t>
  </si>
  <si>
    <t>1:56:26</t>
  </si>
  <si>
    <t>SOUTHBANK - Europe is Kaput. Long live Europe! - Slavoj Žižek, Yanis Varoufakis and Julian Assange - full event</t>
  </si>
  <si>
    <t>Refugees
Brexit</t>
  </si>
  <si>
    <t xml:space="preserve">Slavoj Žižek, 
Yanis Varoufakis
Julian Assange </t>
  </si>
  <si>
    <t>London with videolink to EoE</t>
  </si>
  <si>
    <t>FESTIVAL of DEMOCRACY: Despair and Defiance - Senator Scott Ludlam in Conversation with Julian Assange</t>
  </si>
  <si>
    <t>The Wikileaks Files
Privacy / Transparency</t>
  </si>
  <si>
    <t>Sydney with videolink to EoE</t>
  </si>
  <si>
    <t>Privacy / Transparency (at 42:15)</t>
  </si>
  <si>
    <t>RadioNZ</t>
  </si>
  <si>
    <t xml:space="preserve">US Waging 'Lawfare' in Bid to Control the World </t>
  </si>
  <si>
    <t>TPP
Lawfare</t>
  </si>
  <si>
    <t>NZ
Link to EoE</t>
  </si>
  <si>
    <t>Nasheed Press Conference - Amal Clooney - Explanation of how the UNWG on Arbitrary Detention works</t>
  </si>
  <si>
    <t>UNWGAD
Maldives</t>
  </si>
  <si>
    <t>Amal Clooney</t>
  </si>
  <si>
    <t>UN</t>
  </si>
  <si>
    <t>1:30:43</t>
  </si>
  <si>
    <t>WHEELER CENTRE: Australian booklaunch of The WikiLeaks Files: The World According to US Empire</t>
  </si>
  <si>
    <t>The Wikileaks Files</t>
  </si>
  <si>
    <t>Julian Assange
Andrew Fowler</t>
  </si>
  <si>
    <t>28:07</t>
  </si>
  <si>
    <t>Assange on 'US Empire', Assad govt overthrow plans &amp; new book 'The WikiLeaks Files'</t>
  </si>
  <si>
    <t>"The Wikileaks Files'</t>
  </si>
  <si>
    <t>1:42:07</t>
  </si>
  <si>
    <t>BOOKTV: Launch of 'The Wikileaks Files' with Jeremy Scahill</t>
  </si>
  <si>
    <t>"The WikiLeaks Files"</t>
  </si>
  <si>
    <t>Julian Assange
Jeremy Scahill</t>
  </si>
  <si>
    <t>WikiLeaks - The US strategy to create a new global legal and economic system: TPP, TTIP, TISA.
Julian appears at 3:02 and 7:30.</t>
  </si>
  <si>
    <t>TPP, TTIP, TISA</t>
  </si>
  <si>
    <t xml:space="preserve">Julian Assange
John Pilger
Matt Kennard
Clare Provost
</t>
  </si>
  <si>
    <t>This is a Wikileaks mini documentary and appears on their own channel.</t>
  </si>
  <si>
    <t>SPIEGEL</t>
  </si>
  <si>
    <t>SPIEGEL Interview with Julian Assange
'We Are Drowning in Material'</t>
  </si>
  <si>
    <t>Julian Assange
Michael Sontheimer</t>
  </si>
  <si>
    <t>Discussing 'Yes Men'
Live video feed during the "Yes Men Are Revolting" movie</t>
  </si>
  <si>
    <t xml:space="preserve">"Yes Men" movie
TTIP, TISA, TPP
</t>
  </si>
  <si>
    <t>Julian Assange
Two men</t>
  </si>
  <si>
    <t>HUFFPO</t>
  </si>
  <si>
    <t>Pt3: Julian Assange: ‘It’s Quite Funny Having Been Called a Mossad Agent, a CIA Agent and a Cat Torturer’</t>
  </si>
  <si>
    <t>THE CONVERSATION</t>
  </si>
  <si>
    <t>The Conversation - "Julian Assange on Google, surveillance and predatory capitalism"</t>
  </si>
  <si>
    <t>Google
Surveillance
Digital colonialism</t>
  </si>
  <si>
    <t>Julian Assange
John Keane</t>
  </si>
  <si>
    <t xml:space="preserve">(Pt 2) Mainstream Media Rife With Censorship </t>
  </si>
  <si>
    <t>Julian Assange
Seung-yoon Lee</t>
  </si>
  <si>
    <t>(Pt 1) ‘Western Civilization Has Produced a God, the God of Mass Surveillance’</t>
  </si>
  <si>
    <t>Monday prior</t>
  </si>
  <si>
    <t xml:space="preserve">DEMOCRACY NOW : FULL Interview, starting [23:22]
</t>
  </si>
  <si>
    <t>Julian Assange
Amy Goodman</t>
  </si>
  <si>
    <t>DEMOCRACY NOW (Pt 1): Interview 
- Despite Congressional Standoff, NSA has Secret Authority to Continue Spying Unabated</t>
  </si>
  <si>
    <t>Secret Information</t>
  </si>
  <si>
    <t>DEMOCRACY NOW (Pt 2): Interview 
- The Trans-Pacific Partnership: Secretive Deal Isn’t About Trade, But Corporate Control</t>
  </si>
  <si>
    <t>TPP</t>
  </si>
  <si>
    <t>DEMOCRACY NOW (Pt 3): Interview 
- British Nuclear Sub Whistleblower William McNeilly Revealed Major Security Lapses</t>
  </si>
  <si>
    <t>Nucelar security</t>
  </si>
  <si>
    <t>DEMOCRACY NOW (Pt 4): Interview 
- Europe’s Secret Plan for Military Force on Refugee Boats from Libya</t>
  </si>
  <si>
    <t>Libyan Refugees</t>
  </si>
  <si>
    <t>DEMOCRACY NOW (Pt 5): Interview 
- As Julian Assange Faces Swedish Legal Setback, New Details Come to Light on U.S. Case Against Him</t>
  </si>
  <si>
    <t>The Swedish Case
Julian's health</t>
  </si>
  <si>
    <t>58:56</t>
  </si>
  <si>
    <t xml:space="preserve">DEMOCRACY NOW : FULL Interview, starting [25:06]
</t>
  </si>
  <si>
    <t>DEMOCRACY NOW (Pt 6): Interview 
- WikiLeaks Releases 500K U.S. Cables from 1978 on Iran, Sandinistas, Afghanistan, Israel &amp; More</t>
  </si>
  <si>
    <t>Cablegate
Afghanistan
IC Watch</t>
  </si>
  <si>
    <t>DEMOCRACY NOW (Pt 7): Interview 
- The Kill List: ICWatch Uses LinkedIn Account Info to Out Officials Who Aided Assassination Program</t>
  </si>
  <si>
    <t>IC Watch
NSA</t>
  </si>
  <si>
    <t>DEMOCRACY NOW (Pt 8): Interview 
- “Pretrial Punishment”: Julian Assange Remains in Ecuadorean Embassy Fearing Arrest If He Leaves</t>
  </si>
  <si>
    <t>Pre-trial punishment</t>
  </si>
  <si>
    <t>DEMOCRACY NOW (Pt 9): 
- Assange on the Untold Story of the Grounding of Evo Morales’ Plane During Edward Snowden Manhunt. Also the Iceland story.</t>
  </si>
  <si>
    <t>Snowden
Morales
Iceland
FBI actions</t>
  </si>
  <si>
    <t>1:07:37</t>
  </si>
  <si>
    <t>Commonwealth Lawyers Assoc 15 April 2015</t>
  </si>
  <si>
    <t>Julian Assange
Jennifer Robinson
Adrianna Edmeades</t>
  </si>
  <si>
    <t>??
Videolink to E0E</t>
  </si>
  <si>
    <t>UNHRC: Western persecution: Is the UN Human Rights Council equipped to protect refugees from the West?</t>
  </si>
  <si>
    <t>Julian Assange
UNHRC</t>
  </si>
  <si>
    <t>Geneva &amp; EoE by videolink</t>
  </si>
  <si>
    <t>Includes "Process as Punishment" speech</t>
  </si>
  <si>
    <r>
      <rPr>
        <color rgb="FFA61C00"/>
      </rPr>
      <t>RTS</t>
    </r>
    <r>
      <t>: Pardonnez-moi - L'interview de Julian Assange</t>
    </r>
  </si>
  <si>
    <t>Julian Assange
Darius Rochebin</t>
  </si>
  <si>
    <t>Dubbed in French</t>
  </si>
  <si>
    <t>VIMEO</t>
  </si>
  <si>
    <t>33:49</t>
  </si>
  <si>
    <t>Plática con Julian Assange Ambulante Gira de Documentales 2015</t>
  </si>
  <si>
    <t>Secrecy / Privacy
Censorship is now the new normal</t>
  </si>
  <si>
    <t>Mexico and video link EoE</t>
  </si>
  <si>
    <r>
      <t xml:space="preserve">Clips (in English) from Swiss </t>
    </r>
    <r>
      <rPr>
        <color rgb="FF990000"/>
      </rPr>
      <t xml:space="preserve">RTS </t>
    </r>
    <r>
      <t>interview (which was dubbed in French)</t>
    </r>
  </si>
  <si>
    <t>English version of above</t>
  </si>
  <si>
    <t>NYT</t>
  </si>
  <si>
    <t>OPINION: Who Should Own The Internet | Julian Assange on Living in a Surveillance Society</t>
  </si>
  <si>
    <t>Nantucket Project: Julian Assange: Bitcoin is Much More Than Just a Currency</t>
  </si>
  <si>
    <t>US and holgram from EoE</t>
  </si>
  <si>
    <t xml:space="preserve">OR Books: M.I.A and Julian Assange vs. Google (clip)
Book is "When Google Met Wikileaks" </t>
  </si>
  <si>
    <t>Google</t>
  </si>
  <si>
    <t>Julian Assange
M.I.A</t>
  </si>
  <si>
    <t>NYC &amp; videolink</t>
  </si>
  <si>
    <t>1:09:27</t>
  </si>
  <si>
    <t>OR Books: Book Launch for "When Google Met WikiLeaks"
Julian Assange discusses his new book at the launch party at Babycastles Gallery in NYC</t>
  </si>
  <si>
    <t>Google
New book</t>
  </si>
  <si>
    <t>The report indicates this event was Wdnesday 24 Sept 2014</t>
  </si>
  <si>
    <t>36:18</t>
  </si>
  <si>
    <t>Interview with Julian Assange | Imaginary Lines Ep 10.</t>
  </si>
  <si>
    <t>Julian Assange
Chris Spannos</t>
  </si>
  <si>
    <t>Link to EoE</t>
  </si>
  <si>
    <t>35:06</t>
  </si>
  <si>
    <t>Julian Assange on Q on CBC (AUDIO ONLY) Julian Assange joins Jian Ghomeshi on the phone.</t>
  </si>
  <si>
    <t>Julian Assange
Jian Ghomeshi</t>
  </si>
  <si>
    <t>Canada and by videolink EoE</t>
  </si>
  <si>
    <t>32:15</t>
  </si>
  <si>
    <t>RT: Julian Assange: 'Orwellian horror' of Google Glass, &amp; in bed with state dept</t>
  </si>
  <si>
    <t xml:space="preserve">The Guardian
Eric Schmidt
Google
</t>
  </si>
  <si>
    <t>80% of the ICs are now run by private industry [25:20] 
Six million people in the US with security clearances [34:40]</t>
  </si>
  <si>
    <t>SKY</t>
  </si>
  <si>
    <t>SKY NEWS: Julian Assange 'Will Leave Embassy With Asylum Intact'</t>
  </si>
  <si>
    <t>Google 
NSA spying</t>
  </si>
  <si>
    <t>Julian Assange
Sarah Hewson</t>
  </si>
  <si>
    <t>"The Moment of Truth" (AKLD) Ed Snowden &amp; Julian Assange speak prior to NZ election</t>
  </si>
  <si>
    <t>NSA Spying</t>
  </si>
  <si>
    <t>Ed Snowden &amp; Julian Assange, Kim Dotcom, Glenn Greewald</t>
  </si>
  <si>
    <t>NSA spying from/of NZ. Five Eyes</t>
  </si>
  <si>
    <t>RT</t>
  </si>
  <si>
    <t>26:30</t>
  </si>
  <si>
    <t xml:space="preserve">RT: LIVE Press Conference: </t>
  </si>
  <si>
    <t>Julian Asange</t>
  </si>
  <si>
    <t>After 2 yrs in Embassy</t>
  </si>
  <si>
    <t>28:38</t>
  </si>
  <si>
    <t>Grand Journal: Julian Assange (WikiLeaks) l'entretien exclusif - Le Grand Journal</t>
  </si>
  <si>
    <t>1:01:52</t>
  </si>
  <si>
    <t xml:space="preserve">Julian Assange - SXSW </t>
  </si>
  <si>
    <t>US and by videolink EoE</t>
  </si>
  <si>
    <t>32:32</t>
  </si>
  <si>
    <t>DN: Julian Assange on Being Placed on NSA “Manhunting” List &amp; Secret Targeting of WikiLeaks Supporters</t>
  </si>
  <si>
    <t>Snowden Article
Manhunt article</t>
  </si>
  <si>
    <t>DN link to Snowden article doesn't work</t>
  </si>
  <si>
    <t>YT: CAGE</t>
  </si>
  <si>
    <t>Counterterrorism strategies targeting Muslims will affect the whole populationJulian 
Assange lends his support to the recent report published by CAGE, The Prevent Strategy: A cradle to grave police-state</t>
  </si>
  <si>
    <t>Surveillance
Impact on Muslims</t>
  </si>
  <si>
    <t>Recorded at EoE</t>
  </si>
  <si>
    <t>BBC 4</t>
  </si>
  <si>
    <t>BBC4 - Thought for the day by Julian Assange</t>
  </si>
  <si>
    <t>Knowledge is power</t>
  </si>
  <si>
    <t>Recoding from EoE</t>
  </si>
  <si>
    <t>MEDIA.CCC</t>
  </si>
  <si>
    <t>31:00</t>
  </si>
  <si>
    <t>MEDIA.CCC:  SysAdmins of the world, unite! | Jacob Appelbaum and Julian Assange (JA from 6:34 &amp; 18:00)</t>
  </si>
  <si>
    <t>Julian Assange
Jacob Applelbaum
Sarah Harrison</t>
  </si>
  <si>
    <t>Germany</t>
  </si>
  <si>
    <t>31:44</t>
  </si>
  <si>
    <t>TPP - Lead Singer Rene from La Calle (Multi Viral) asks about TPP (English and Spanish)</t>
  </si>
  <si>
    <t>Release of music video
TPP</t>
  </si>
  <si>
    <t>Puerto Rico and by videolink EoE</t>
  </si>
  <si>
    <t>Lyrics were created from text messages to Julian</t>
  </si>
  <si>
    <t>Julian Assange opens M.I.A. Terminal 5 show in NY via Skype.</t>
  </si>
  <si>
    <t>Julian Assange 'This Week' Interview: WikiLeaks Founder Discusses 'The Fifth Estate,' Edward Snowden</t>
  </si>
  <si>
    <t>"The Fifth Estate"
Journalists in exile</t>
  </si>
  <si>
    <t>33:56</t>
  </si>
  <si>
    <t xml:space="preserve">Snowden safe but journalists dealing with him at risk </t>
  </si>
  <si>
    <t>Focus on LatAm</t>
  </si>
  <si>
    <t>Julian Assange
Eva Golinger (RT)</t>
  </si>
  <si>
    <t>Original interview in Spanish (dubbed in English)</t>
  </si>
  <si>
    <t>1:38:22</t>
  </si>
  <si>
    <t>Ideas at the House: Panel - 'The War on Whistleblowers &amp; their Publishers' 
(Sydney Opera House)</t>
  </si>
  <si>
    <t>Whistleblowing
Chelsea Manning
Whole sytem problems</t>
  </si>
  <si>
    <t>Julian Assange
Glenn Greenwald
David Coombs
Alexa O'Brien
Bernard Keane (MC)</t>
  </si>
  <si>
    <t>SYD / UK by videolink</t>
  </si>
  <si>
    <t>"How do you blow the whistle on the system itself?" [14:13]</t>
  </si>
  <si>
    <t>Ron Paul: (Pt 1/4) Julian Assange talks to Ron Paul</t>
  </si>
  <si>
    <t>The Wikileaks Party (AU elections)</t>
  </si>
  <si>
    <t>Ron Paul: (Pt 2/4) Julian Assange talks to Ron Paul</t>
  </si>
  <si>
    <t>What motivates JA?
Safeguards in publications</t>
  </si>
  <si>
    <t>Ron Paul: (Pt 3/4) Julian Assange talks to Ron Paul</t>
  </si>
  <si>
    <t>Most surprising things in the library</t>
  </si>
  <si>
    <t>Ron Paul: (Pt 4/4) Julian Assange talks to Ron Paul</t>
  </si>
  <si>
    <t>The challlenge of leadership at a distance</t>
  </si>
  <si>
    <t>60 MINUTES: Wikileaks founder Julian Assange talks about escaping embassy | 60 Minutes Australia</t>
  </si>
  <si>
    <t>Australian govt
Bradley Manning
Wikileaks Party</t>
  </si>
  <si>
    <t>Juilan Assange</t>
  </si>
  <si>
    <t>E0E</t>
  </si>
  <si>
    <t>WSJ</t>
  </si>
  <si>
    <t xml:space="preserve">WSJ (from NewsCorp AU): Jullian Assange Interview | Julian Assange Confident of Australian Senate Seat
</t>
  </si>
  <si>
    <t>Snowden
AU elections</t>
  </si>
  <si>
    <t xml:space="preserve"> EoE</t>
  </si>
  <si>
    <t>VICE (AU) Julian Assange on Bradley Manning and Political Payback</t>
  </si>
  <si>
    <t>Day after conviction of Bradley Manning</t>
  </si>
  <si>
    <t>“Bradley Manning Has Become a Martyr”–WikiLeaks’ Julian Assange on Guilty Verdict</t>
  </si>
  <si>
    <t>Manning</t>
  </si>
  <si>
    <t xml:space="preserve">VIDEO </t>
  </si>
  <si>
    <t>CNN</t>
  </si>
  <si>
    <t>CNN: Julian Assange: Manning is a hero</t>
  </si>
  <si>
    <t>Julian Assange
Barry Pollack (US lawyer)</t>
  </si>
  <si>
    <t>US with videolink E0E</t>
  </si>
  <si>
    <t>9:39</t>
  </si>
  <si>
    <t>Julian Assange speaks at Splendour In The Grass</t>
  </si>
  <si>
    <t>Media
Running for Senate</t>
  </si>
  <si>
    <t>Pre-recorded video from E0E</t>
  </si>
  <si>
    <t>DailyMail</t>
  </si>
  <si>
    <t>Inside the head of... Julian Assange</t>
  </si>
  <si>
    <t>Guardian</t>
  </si>
  <si>
    <t>Guardian: How cryptography is a key weapon in the fight against empire states</t>
  </si>
  <si>
    <t>Crytopgraphy</t>
  </si>
  <si>
    <t>ABC</t>
  </si>
  <si>
    <t>ABC: On Edward Snowden on 'This Week': "Asylum is a Right We All Have"</t>
  </si>
  <si>
    <t>Julian Assange
George ????
Jesselyn Radack</t>
  </si>
  <si>
    <t>4:32</t>
  </si>
  <si>
    <t>Anniversary speech made by proxy (Ciaron O'Reilly) due to security concerns (Originally scheduled date 16 June 2013 - Anniversary of asylum.)</t>
  </si>
  <si>
    <t>Snowden
ICs</t>
  </si>
  <si>
    <t>Julian Assage (In absentia)
Ciaron O'Reilly (proxy)</t>
  </si>
  <si>
    <t>Postponed from 16 June due to security concerns</t>
  </si>
  <si>
    <t>LATELINE Interview</t>
  </si>
  <si>
    <t>Julian Assange
Emma Alberici</t>
  </si>
  <si>
    <t>AU, with videolink to EoE</t>
  </si>
  <si>
    <t>1:22:05</t>
  </si>
  <si>
    <t>ISEA2013, Sydney - Julian Assange Keynote Address</t>
  </si>
  <si>
    <t>Sydney
videolink to E0E</t>
  </si>
  <si>
    <t>19:29</t>
  </si>
  <si>
    <t>Lateline Interview</t>
  </si>
  <si>
    <t>Bradley Manning
Australia
Gillard
Snowden</t>
  </si>
  <si>
    <t>Austraia. and by videolink EoE</t>
  </si>
  <si>
    <t>Wikileaks: Assange Statement on the First Day of Manning Trial | Monday 3rd June 2013</t>
  </si>
  <si>
    <t>Bradley Manning</t>
  </si>
  <si>
    <t>WL Website</t>
  </si>
  <si>
    <t>38:53</t>
  </si>
  <si>
    <t>Julian Assange
Amy Goodman
Nermeen Shaikh</t>
  </si>
  <si>
    <t>DEMOCRACY NOW (Pt 1): Interview
- Stratfor Hacker Jeremy Hammond Guilty Plea Part of Crackdown on Journalism, Activism</t>
  </si>
  <si>
    <t>Strafor emails
Jeremy Hammond</t>
  </si>
  <si>
    <t>DEMOCRACY NOW (Pt 2): Interview 
- U.S. Probe of WikiLeaks &amp; “Show Trial” of Bradley Manning Aims to Scare Whistleblowers</t>
  </si>
  <si>
    <t>DEMOCRACY NOW (Pt 3): Interview 
- on Meeting with Google, Responds to Anti-WikiLeaks Attacks from New Film to Finances</t>
  </si>
  <si>
    <t>Wikileaks Archive</t>
  </si>
  <si>
    <t xml:space="preserve">"We Steal Secrets: The Story of Wikileaks"
The annotated transcript
</t>
  </si>
  <si>
    <t>Interview - Salvados - Julian Assange, el fundador de Wikileaks</t>
  </si>
  <si>
    <t>Transparency</t>
  </si>
  <si>
    <t>Q - ES
A - EN with subtitles</t>
  </si>
  <si>
    <t>5 Sept 2013</t>
  </si>
  <si>
    <t>54:18</t>
  </si>
  <si>
    <t xml:space="preserve">PUBLIC CHRONICLE: Julian Assange Speaks with Dr. Cornel West May 10, 2013 Ecuadorian Embassy, London </t>
  </si>
  <si>
    <t>Julian Assange
Cornel West</t>
  </si>
  <si>
    <t>Audio plus video collage</t>
  </si>
  <si>
    <t>WL</t>
  </si>
  <si>
    <t>3:12:23</t>
  </si>
  <si>
    <t>Transcript of secret meeting between Julian Assange and Google CEO Eric Schmidt (and others)</t>
  </si>
  <si>
    <t>Google
encryption</t>
  </si>
  <si>
    <t>Julian Assange
Eric Schmidt 
and others</t>
  </si>
  <si>
    <t>UK</t>
  </si>
  <si>
    <t>COUNTERPUNCH: Talking With Julian Assange MEDEA BENJAMIN</t>
  </si>
  <si>
    <t>Julian Assange
Medea Benjamin</t>
  </si>
  <si>
    <t>San Francisco</t>
  </si>
  <si>
    <t>Julian Assange &amp; Wikileaks - 2013 Global Exchange People's Choice Award - Julian's acceptance speech read by Daniel Elsberg</t>
  </si>
  <si>
    <t>Julian Assange
Daniel Elsberg
Jake Applebaum</t>
  </si>
  <si>
    <t>1:08:40</t>
  </si>
  <si>
    <t>WIKILEAKS : PlusD Release Press Conference</t>
  </si>
  <si>
    <t>PlusD</t>
  </si>
  <si>
    <t>Margaret Thatcher died the previous night.</t>
  </si>
  <si>
    <t>Book Launch of "México en Wikileaks, Wikileaks en La Jornada"</t>
  </si>
  <si>
    <t>Mexico
Cablegate</t>
  </si>
  <si>
    <t>Julian Assange
Pedro Miguel</t>
  </si>
  <si>
    <t>Mexico, with videolink to EoE</t>
  </si>
  <si>
    <t>Julian Assange on Bill Maher</t>
  </si>
  <si>
    <t>Julian Assange
Bill Maher</t>
  </si>
  <si>
    <t>US with videolink to EoE</t>
  </si>
  <si>
    <t>YOKO ONO AWARD: Acceptance speech for the Yoko Ono Courage Award</t>
  </si>
  <si>
    <t>21:09</t>
  </si>
  <si>
    <t>Sam Adams Awards | Oxford Union</t>
  </si>
  <si>
    <t>UK, with videolink to EoE</t>
  </si>
  <si>
    <t>Christmas Message, December 20th 2012</t>
  </si>
  <si>
    <t>WikiLeaks declares war on banking blockade | 
Launch of the Freedom Of the Press Foundation</t>
  </si>
  <si>
    <t>Wikileaks Website</t>
  </si>
  <si>
    <t>18:40</t>
  </si>
  <si>
    <t xml:space="preserve">Julian Assange Address to UN General Assembly </t>
  </si>
  <si>
    <t>Diplomatic Asylum
International Human Rights</t>
  </si>
  <si>
    <t>WikiLeaks</t>
  </si>
  <si>
    <t>WL: Background for UN Talk - Ongoing Investigation into WikiLeaks</t>
  </si>
  <si>
    <t>US Investigation</t>
  </si>
  <si>
    <t>GAMA TV: Rafael Correa / Julian Assange: ROMPE EL SILENCIO (ENTREVISTA EXCLUSIVA)</t>
  </si>
  <si>
    <t>Asylum for Julian Assange, 
Human Rights</t>
  </si>
  <si>
    <t>Julian Assange
Rafael Correa
Many others</t>
  </si>
  <si>
    <t>Many</t>
  </si>
  <si>
    <t>In Spanish (no subtitles)</t>
  </si>
  <si>
    <t>Speech from the balcony after receiving asylum</t>
  </si>
  <si>
    <t>Juian Assange</t>
  </si>
  <si>
    <t>Julian Assange is given asylum status in the London Embassy of Ecuador</t>
  </si>
  <si>
    <t>interview  with ABC National Radio, Australia, Julian Assange saying his right to appeal is 'over'.</t>
  </si>
  <si>
    <t>Julian Assange by voicelink from EoE</t>
  </si>
  <si>
    <t>Julian Assange enters the London Embassy of Ecuador</t>
  </si>
  <si>
    <t>"Inside Wikileaks" by Journeyman Pictures published 2012 May 22</t>
  </si>
  <si>
    <t>Premiere of Europe's Last Dictator with Julian Assange, Dr. Irina Bogdanova and more</t>
  </si>
  <si>
    <t>Belarus</t>
  </si>
  <si>
    <t>Julian Assange
Dr. Irina Bogdanova 
Mathew Charles</t>
  </si>
  <si>
    <t>Old Vic Tunnels
London</t>
  </si>
  <si>
    <t>Rolling Stone</t>
  </si>
  <si>
    <t>The RollingStone interview</t>
  </si>
  <si>
    <t>Julian Assange
Michael Hastings</t>
  </si>
  <si>
    <t>London</t>
  </si>
  <si>
    <t>SPY FILES (Release 1)</t>
  </si>
  <si>
    <t>Wikileaks: Spyfiles release statement</t>
  </si>
  <si>
    <t>Spyfiles
Surveillance</t>
  </si>
  <si>
    <t>Guardian's "WikiLeaks: Secrets and Lies" Documentary: Guardian hacks continue PR war against WikiLeaks
"The Guardian has continued its war on WikiLeaks with three new attacks over 48 hours--five days before Julian Assange's final extradition appeal judgement in the High Court and a UK Parliamentary debate and vote on extradition abuses (both Mon, December 5)."</t>
  </si>
  <si>
    <t>On winning the Walkley Award for journalism</t>
  </si>
  <si>
    <t>Julian Assange
Amy Goodman,
Glen Greenwald</t>
  </si>
  <si>
    <t>26:22</t>
  </si>
  <si>
    <t>JOURNEYMAN PICS: [Wiki-Whacked] 
Blowing the Whistle on Julian Assange (2011)</t>
  </si>
  <si>
    <t>AU  Documentary
Precise date unknown.</t>
  </si>
  <si>
    <t>AnonScan</t>
  </si>
  <si>
    <t>2 different speeches at Occupy London</t>
  </si>
  <si>
    <t>Faces can't be anonymous but money can.</t>
  </si>
  <si>
    <t>While JA under house arrest</t>
  </si>
  <si>
    <t>SMH</t>
  </si>
  <si>
    <r>
      <rPr>
        <b/>
      </rPr>
      <t>SMH</t>
    </r>
    <r>
      <t xml:space="preserve">: "Who wouldn't shout with the stakes so high?"
</t>
    </r>
    <r>
      <rPr>
        <b/>
        <color rgb="FFFF0000"/>
      </rPr>
      <t>NOTE</t>
    </r>
    <r>
      <t xml:space="preserve">: This is an extract from "The Unauthorised Autobiography" so shoud be treated with caution.
</t>
    </r>
  </si>
  <si>
    <t>"Disclosure is not merely an action; it is a way of life."</t>
  </si>
  <si>
    <t>Julian speaks at Occupy London</t>
  </si>
  <si>
    <t>Occupy</t>
  </si>
  <si>
    <t>HarryFearTV: Julian Assange - OCT8 Antiwar Mass Assembly</t>
  </si>
  <si>
    <t>"War is a result of lies"  "Journalists are War Criminals"</t>
  </si>
  <si>
    <t>1O-Oct-2011</t>
  </si>
  <si>
    <t>dotsub</t>
  </si>
  <si>
    <t>5:46</t>
  </si>
  <si>
    <t xml:space="preserve">Julian Assange at Trafalgar Square
</t>
  </si>
  <si>
    <t>London  by videolink from E Hall</t>
  </si>
  <si>
    <t>Wikileaks Statement: 
Guardian journalist negligently disclosed Cablegate passwords</t>
  </si>
  <si>
    <t>Cablegate
The Guardian
David Leigh &amp; 
Luke Harding</t>
  </si>
  <si>
    <t>2:00:21</t>
  </si>
  <si>
    <t>Frontline Club: Julian Assange in conversation with Slavoj Zizek moderated by Democracy Now's Amy Goodman</t>
  </si>
  <si>
    <t>The War Logs</t>
  </si>
  <si>
    <t>Julian Assange
Slavoj Žižek
Amy Goodman</t>
  </si>
  <si>
    <t>E-Flux</t>
  </si>
  <si>
    <t>E-FLUX May (Pt 2) Hans Ulrich Obrist In Conversation with Julian Assange, Part II</t>
  </si>
  <si>
    <t>Julian Assange
Hans Ulrich Obrist</t>
  </si>
  <si>
    <t>London 
E Hall</t>
  </si>
  <si>
    <t>With artists</t>
  </si>
  <si>
    <t>ANON SCAN: When Google Met Julian Assange
Audio from the meeting which produced the book.
Schmidt and Cohen requested the meeting, to discuss ideas for "The New Digital World", ( The New Digitial Age ) their forthcoming book to be published on April 23, 2013...  they said.</t>
  </si>
  <si>
    <t>Google, Future of the internet</t>
  </si>
  <si>
    <t>Julian Assange
 Eric Schmidt
Jared Cohen
Scott Malcomson
Lisa Shields</t>
  </si>
  <si>
    <t>BOOK</t>
  </si>
  <si>
    <t xml:space="preserve">WikiLeaks parody of MasterCard ad... priceless
Ad for @wikileaks by Ralph Nadar which was challenged by Mastercard for alleged copyright violation. The court found it "sufficiently a parody for the purposes of a fair use analysis, and consequently, is transformative." </t>
  </si>
  <si>
    <t>Banking blockade</t>
  </si>
  <si>
    <t>Pt 1: Produced for the Belfast Telegraph by Millar Grattan Media - www.millargrattanmedia.com</t>
  </si>
  <si>
    <t>Impact of Cablegate</t>
  </si>
  <si>
    <t>Ellingham Hall</t>
  </si>
  <si>
    <t>Pt 2: Produced for the Belfast Telegraph by Millar Grattan Media - www.millargrattanmedia.com</t>
  </si>
  <si>
    <t>Impact of injuctions
Ireland cables
Iceland - Ireland parallels</t>
  </si>
  <si>
    <t>ARCHIVE</t>
  </si>
  <si>
    <t>1:09:20</t>
  </si>
  <si>
    <t>CONFERENCE CALLl re Bradley Manning. 
Assange speaks at 25:30.</t>
  </si>
  <si>
    <t>Julian Assange, Daniel Ellsberg 
and others</t>
  </si>
  <si>
    <t>22:36</t>
  </si>
  <si>
    <t>RT Interview - Part 1</t>
  </si>
  <si>
    <t>Julian Assange
Laura Emmett</t>
  </si>
  <si>
    <t>19:04</t>
  </si>
  <si>
    <t>RT Interview - Part 2</t>
  </si>
  <si>
    <t>Julian Assage
Laura Emmett</t>
  </si>
  <si>
    <t>RT Facebook, Google, Yahoo spying tools for US intelligence</t>
  </si>
  <si>
    <t>Google
Yahoo
spying</t>
  </si>
  <si>
    <t>E-FLUX May (Pt 1) Hans Ulrich Obrist In Conversation with Julian Assange, Part I</t>
  </si>
  <si>
    <t>New Statesman/Frontline Club debate on the motion: "This house believes whistle-blowers make the world a safer place."
The other speeches from this debate can be found on the New Statesman YT channel.
Speakers for the proposition were Julian Assange; Mehdi Hasan, senior editor (politics) of the New Statesman; Clayton Swisher, head of al-Jazeera's transparency unit. Speakers for the opposition were: David Richmond, former director for British defence and intelligence and member of the Foreign and Commonwealth Office Board; Bob Ayers, former director of the US department of defence information systems security programme; Douglas Murray, author and political commentator.</t>
  </si>
  <si>
    <t>Julian Assange
Mehdi Hasan
Clayon Swisher
David Richmond
Bob Ayers
Douglas Murray</t>
  </si>
  <si>
    <t>London
Kensington Town Hall</t>
  </si>
  <si>
    <t>Trip TV</t>
  </si>
  <si>
    <t>Julian Assange, do Wikileaks - Entrevista exclusiva para a Revista Trip</t>
  </si>
  <si>
    <t>Wikileaks pholosophy</t>
  </si>
  <si>
    <t xml:space="preserve">Julian Assange </t>
  </si>
  <si>
    <t>"The truth about the world is the only useful ingredient in human decsionmaking."</t>
  </si>
  <si>
    <t>53:44</t>
  </si>
  <si>
    <t>PBS Frontline "Wiki Secrets" (Hostile Doco) - see full interview footage from 4 Apr 2011 (below vvv)</t>
  </si>
  <si>
    <t>Julian Assange
Martin Smith</t>
  </si>
  <si>
    <t>Archive</t>
  </si>
  <si>
    <t>NEW STATESMAN: Julian Assange: “WikiLeaks is the intelligence agency of the people”</t>
  </si>
  <si>
    <t>55:25</t>
  </si>
  <si>
    <t xml:space="preserve">PBS Frontline "WikiSecrets" FULL Interview Footage </t>
  </si>
  <si>
    <t xml:space="preserve">Julian Assange
Martin Smith
</t>
  </si>
  <si>
    <t>The Hindu</t>
  </si>
  <si>
    <t>INTERVIEW: The behaviour of guilty men: Julian Assange</t>
  </si>
  <si>
    <t>Julian Assange
Prannoy Roy</t>
  </si>
  <si>
    <t>CAMBRIDGE UNI: WikiLeaks founder Julian Assange speaking to The Cambridge Union</t>
  </si>
  <si>
    <t>Julia Gillard on Q&amp;A answering Julian Assange</t>
  </si>
  <si>
    <t>AUS assistance to Julian and AUS information sharing with the US</t>
  </si>
  <si>
    <t>Julian Assange
Julia Gillard</t>
  </si>
  <si>
    <t>Aus and by videolonk to EoE</t>
  </si>
  <si>
    <t>Wikileaks Editorial - 100 Days of Cablegate</t>
  </si>
  <si>
    <t>Cablegate</t>
  </si>
  <si>
    <t xml:space="preserve">WikiLeaks statement [re Israel Shamir] that was given to, but not used by, the UK satirical current-affairs magazine, Private Eye:
</t>
  </si>
  <si>
    <t>Wikileaks
re Israel Shamir</t>
  </si>
  <si>
    <t>48:55</t>
  </si>
  <si>
    <t>SBS (AU) Extended Interview with Julian Assange</t>
  </si>
  <si>
    <t>Australian govt
Estradition hearins</t>
  </si>
  <si>
    <t>Julian Assange
Matk Davis</t>
  </si>
  <si>
    <t>LIBERTY VICTORIA: WikiLeaks wins Voltaire Award Speeches Including Assange (2/3)</t>
  </si>
  <si>
    <t>Surveillance
Clinton targeting of UN  people
"I am a journalist"
Threats against WL staff</t>
  </si>
  <si>
    <t>Melbourne &amp; Bellingham (pre-recorded)</t>
  </si>
  <si>
    <t>Jennifer Robinson speaks at the start of this video</t>
  </si>
  <si>
    <t>JOURNEYMAN PICTURES: Raw clip from interview Feb 2011</t>
  </si>
  <si>
    <t>Julian Assange
Mark Davis</t>
  </si>
  <si>
    <t>Sound is not good.</t>
  </si>
  <si>
    <t>60 Mins</t>
  </si>
  <si>
    <t>60 Minutes: (Pt 1) WikiLeaks' Julian Assange</t>
  </si>
  <si>
    <t>War Logs
Cablegate</t>
  </si>
  <si>
    <t>Julian Assange
Steve Kroft</t>
  </si>
  <si>
    <t>UK (Under house arrest)</t>
  </si>
  <si>
    <t>60 Minutes: (Pt 2) WikiLeaks' Julian Assange</t>
  </si>
  <si>
    <t>Arjen van der Horst - foreign correspondent (Holland): Unedited interview</t>
  </si>
  <si>
    <t>Cablegate
Cables to/from The Hague</t>
  </si>
  <si>
    <t>1:08:28</t>
  </si>
  <si>
    <t>John Pilger in conversation with Julian Assange</t>
  </si>
  <si>
    <t>War Logs
mainstream media, 
citizen journalism</t>
  </si>
  <si>
    <t>Julian Assange
John Pilger</t>
  </si>
  <si>
    <t>11:45</t>
  </si>
  <si>
    <t>(Pt 1) Sir David Frost Interviews Julian Assange- Wikileaks- Al Jazeera Part 1 of 2</t>
  </si>
  <si>
    <t>Julian Assange
David Frost</t>
  </si>
  <si>
    <t>12:16</t>
  </si>
  <si>
    <t>(Pt 2) Sir David Frost Interviews Julian Assange- Wikileaks- Al Jazeera Part 2 of 2</t>
  </si>
  <si>
    <t>TYT</t>
  </si>
  <si>
    <t>Exclusive Julian Assange Interview With Cenk Uygur (12/22/10)</t>
  </si>
  <si>
    <t>Member of the press?
Bradley Mannling</t>
  </si>
  <si>
    <t>Julian Assange
Cenk Uygur</t>
  </si>
  <si>
    <t>US and videolink fron Ellingham Hall</t>
  </si>
  <si>
    <t>AP: "WikiLeaks Founder Fears U.S. Indictment"</t>
  </si>
  <si>
    <t>Risk of onwards extradition (from Sweden) to US</t>
  </si>
  <si>
    <t>"Bungay", UK</t>
  </si>
  <si>
    <t>On Larry King (with Daniel Ellsberg)</t>
  </si>
  <si>
    <t>Iragui War Logs vs ""rape allegations"</t>
  </si>
  <si>
    <t>TYT: Anonymous Strikes Back for WikiLeaks! (Operation Payback).</t>
  </si>
  <si>
    <t>2010 Dec 7 9:30am JA arrested in the UK</t>
  </si>
  <si>
    <t>JULIAN ASSANGE ARRESTED in UK</t>
  </si>
  <si>
    <t>John Pilger</t>
  </si>
  <si>
    <t xml:space="preserve">In John Pilger's "The War You don't See" (1h15m08s)
The Military Intelligence Industrial Complex
</t>
  </si>
  <si>
    <t>Iraq War</t>
  </si>
  <si>
    <t>John Pilger
Julian Assange</t>
  </si>
  <si>
    <t>WikiRebels</t>
  </si>
  <si>
    <t xml:space="preserve">Swedish TV (SVT) Documentary "WikiRebels" 
Rough cuts PLAYLIST (4 vids)
</t>
  </si>
  <si>
    <t>Rough cut doumentary</t>
  </si>
  <si>
    <t>John Perry Barlow: The first serious infowar is now engaged. The field of battle is WikiLeaks. You are the troops.</t>
  </si>
  <si>
    <t>John Perry Barlow</t>
  </si>
  <si>
    <t>Guardian: Julian Assange answers your questions</t>
  </si>
  <si>
    <t>Julian Assange
Reader questions</t>
  </si>
  <si>
    <t>US Cables published</t>
  </si>
  <si>
    <t>Iraq war logs Frago 242 -- a licence to torture World news guardian...</t>
  </si>
  <si>
    <t>David Leigh, Guardian
Peter Maas, NYT
James Steele, Military</t>
  </si>
  <si>
    <t>Iraq War Logs releases by Wikileaks</t>
  </si>
  <si>
    <t>LINK - YT</t>
  </si>
  <si>
    <t>Al Jazeera: (Pt 1 The Secret Iraq Files</t>
  </si>
  <si>
    <t>Can't find Part 1</t>
  </si>
  <si>
    <t>29:15</t>
  </si>
  <si>
    <t>Al Jazeera: (Pt 2) The Secret Iraq Files</t>
  </si>
  <si>
    <t>Iraq War Logs</t>
  </si>
  <si>
    <t>Does not include Julian Assang</t>
  </si>
  <si>
    <t>Julian Assange to RT: WikiLeaks gives 'most accurate picture of war'</t>
  </si>
  <si>
    <t>3:47</t>
  </si>
  <si>
    <t>WikiLeaks Iraq War Logs: Torture, civilian death toll revealed in latest leak</t>
  </si>
  <si>
    <t>Contaminated weapons
Cancer rates. The "white phosphorus children"</t>
  </si>
  <si>
    <t>4:20</t>
  </si>
  <si>
    <t>Al Jazeera interviews Julian Assange</t>
  </si>
  <si>
    <t>Iraq War Logs
War crimes</t>
  </si>
  <si>
    <t>Al Jazeera: Wikileaks founder slams sexual abuse charges</t>
  </si>
  <si>
    <t>"Rape" allegations</t>
  </si>
  <si>
    <t>4:38</t>
  </si>
  <si>
    <t>The Guardian Interview (re the War Logs). Julian's Tshirt says "Dig Down in Time" which he says is a good analogy for journalism.</t>
  </si>
  <si>
    <t>SBS</t>
  </si>
  <si>
    <t>24:12</t>
  </si>
  <si>
    <t>SBS (AU) Inside Wikileaks</t>
  </si>
  <si>
    <t>10:01</t>
  </si>
  <si>
    <t>SBS (AU) Inside Wikileaks (Part 1)</t>
  </si>
  <si>
    <t>10:00</t>
  </si>
  <si>
    <t>SBS (AU) Inside Wikileaks (Part 2)</t>
  </si>
  <si>
    <t>3:23</t>
  </si>
  <si>
    <t>SBS (AU) Inside Wikileaks (Part 3)</t>
  </si>
  <si>
    <t>Julian Assange to NDTV: ISI danger is very real
ISI-Pakistan and Taliban</t>
  </si>
  <si>
    <t>ISI -Pakistan
Afghan War Logs</t>
  </si>
  <si>
    <t>UK (link)</t>
  </si>
  <si>
    <t>Economist</t>
  </si>
  <si>
    <t>The Economist | Tea with Julian Assange, editor of Wikileaks</t>
  </si>
  <si>
    <t>Afghan War Logs</t>
  </si>
  <si>
    <t>Forbes</t>
  </si>
  <si>
    <t>LINK - Forbes</t>
  </si>
  <si>
    <t>Spiegel: WikiLeaks Founder Julian Assange on the 'War Logs': 'I Enjoy Crushing Bastards'</t>
  </si>
  <si>
    <t>25-Jul-0201</t>
  </si>
  <si>
    <t>CH 4</t>
  </si>
  <si>
    <t>CH 4 NEWS: WikiLeaks founder Julian Assange interview</t>
  </si>
  <si>
    <t>Afghan Warlogs Released</t>
  </si>
  <si>
    <t>TED</t>
  </si>
  <si>
    <t>TED: Julian Assange: Why the world needs WikiLeaks</t>
  </si>
  <si>
    <t>How does Wikileaks work</t>
  </si>
  <si>
    <t>Julian Assange
Chris Anderson</t>
  </si>
  <si>
    <t>JOURNEYMAN PICTURES: Is Wikileaks a Force For Good or a Force For Chaos? (2010) Clip re US footage</t>
  </si>
  <si>
    <t>3:28:03</t>
  </si>
  <si>
    <t xml:space="preserve">ALDE ADLE Hearing (Full Video Event): (Self) Censorship New Challenges for Freedom of Expression in Europe
</t>
  </si>
  <si>
    <t>Julian Assange
Panel</t>
  </si>
  <si>
    <t>Brussels</t>
  </si>
  <si>
    <t>JA on UK Libel laws at 1:56:55</t>
  </si>
  <si>
    <t>SBS (AU) Whistleblower</t>
  </si>
  <si>
    <t>Childhood
Early hacking
NASA
Iceland banking</t>
  </si>
  <si>
    <t>Norway
Sweden
Iceland</t>
  </si>
  <si>
    <t>10.00</t>
  </si>
  <si>
    <t>SBS (AU) Whistleblower (Part 1)</t>
  </si>
  <si>
    <t>10:39</t>
  </si>
  <si>
    <t>SBS (AU) Whistleblower (Part 2)</t>
  </si>
  <si>
    <t>1:04:07</t>
  </si>
  <si>
    <t>OSlo interview by Hans Lysglimt (in coffeeshop)</t>
  </si>
  <si>
    <t>Julian Assnage
Hans Lysglimt</t>
  </si>
  <si>
    <t>Olso</t>
  </si>
  <si>
    <t>17:51</t>
  </si>
  <si>
    <t>Oslo Freedom Forum - The Whistleblower</t>
  </si>
  <si>
    <t>Oslo</t>
  </si>
  <si>
    <t>FORA</t>
  </si>
  <si>
    <t>4:49</t>
  </si>
  <si>
    <t>On "scientific journalism" at UC Berkely Graduate School of Journalism</t>
  </si>
  <si>
    <t>US</t>
  </si>
  <si>
    <t xml:space="preserve">On WikiLeaks: How Safe Are Whistleblowers in the Digital Age?
</t>
  </si>
  <si>
    <t>LINK - YT Channel</t>
  </si>
  <si>
    <t>AntiWar Radio - Interview (in 4 parts)</t>
  </si>
  <si>
    <t>Collateral Murder</t>
  </si>
  <si>
    <t>4 videos</t>
  </si>
  <si>
    <t>COLBERT REPORT</t>
  </si>
  <si>
    <t>11:39</t>
  </si>
  <si>
    <t>Colbert Report Interview</t>
  </si>
  <si>
    <t>Julian Assange
Stephen Colbert</t>
  </si>
  <si>
    <t>6 Aril 2010</t>
  </si>
  <si>
    <t>WikiLeaks editor on Apache combat video: No excuse for US killing civilians</t>
  </si>
  <si>
    <t>Alonya</t>
  </si>
  <si>
    <t>Wikileaks co-founder speaks to Alyona</t>
  </si>
  <si>
    <t>Collateral Murder
What modern warfare is really like</t>
  </si>
  <si>
    <t>Collateral Murder released by Wikileaks</t>
  </si>
  <si>
    <t>Release of US Intelligence plan to destroy Wikileaks (doc from 18 Mar 2008)</t>
  </si>
  <si>
    <t>WikiLeaks Release 1.0 (1/7)</t>
  </si>
  <si>
    <t>Toxic Waste 
German bombing in Afghanistan'</t>
  </si>
  <si>
    <t>Julian Assange
Daniel Schmidt</t>
  </si>
  <si>
    <t>Germany?</t>
  </si>
  <si>
    <t>WikiLeaks Release 1.0 (2/7)</t>
  </si>
  <si>
    <t>9/11 pager messages
European security strategy</t>
  </si>
  <si>
    <t xml:space="preserve">" </t>
  </si>
  <si>
    <t>WikiLeaks Release 1.0 (3/7)</t>
  </si>
  <si>
    <t>Stagies for improving secondary reporting
Iceland loanbook</t>
  </si>
  <si>
    <t>WikiLeaks Release 1.0 (4/7)</t>
  </si>
  <si>
    <t>Offshore publication centre (Iceland)</t>
  </si>
  <si>
    <t>WikiLeaks Release 1.0 (5/7)</t>
  </si>
  <si>
    <t>Iceland
The critical naure of sources</t>
  </si>
  <si>
    <t>WikiLeaks Release 1.0 (6/7)</t>
  </si>
  <si>
    <t>CRU emails (Climate science) Tking care of sources</t>
  </si>
  <si>
    <t>WikiLeaks Release 1.0 (7/7)</t>
  </si>
  <si>
    <t>End</t>
  </si>
  <si>
    <t xml:space="preserve">New Media Days Conference (1/6) The Subtle Roar of Online Whistle-Blowing: </t>
  </si>
  <si>
    <t>Assassinations</t>
  </si>
  <si>
    <t>Copenhagen</t>
  </si>
  <si>
    <t xml:space="preserve">New Media Days Conference (2/6) The Subtle Roar of Online Whistle-Blowing: </t>
  </si>
  <si>
    <t>Kenya</t>
  </si>
  <si>
    <t xml:space="preserve">New Media Days Conference (3/6) The Subtle Roar of Online Whistle-Blowing: </t>
  </si>
  <si>
    <t>Guantanomo Bay
US Policy re Unconventional warfare
Iceland</t>
  </si>
  <si>
    <t xml:space="preserve">New Media Days Conference (4/6) The Subtle Roar of Online Whistle-Blowing: </t>
  </si>
  <si>
    <t>Iceland (cont)
NATO's master narrative for Afghanistan'</t>
  </si>
  <si>
    <t>Role of Jordan in Afghanistan
Toxic dumping on the Ivory Coast
Secret gag orders in th UK</t>
  </si>
  <si>
    <t xml:space="preserve">New Media Days Conference (5/6) The Subtle Roar of Online Whistle-Blowing: </t>
  </si>
  <si>
    <t>Questions
Harmonisation of laws</t>
  </si>
  <si>
    <t xml:space="preserve">New Media Days Conference (6/6) The Subtle Roar of Online Whistle-Blowing: </t>
  </si>
  <si>
    <t>Verification.
Censorship
Pagers from 9/11</t>
  </si>
  <si>
    <t>Prix Forum: Digital Communities, Ars Electronica Festival</t>
  </si>
  <si>
    <t>Austria</t>
  </si>
  <si>
    <t>Julian Assagne from Wikileaks (wikileaks.org) talk at Ars Electronica (aec.at) September 2009</t>
  </si>
  <si>
    <t>History of WL and civil disobedience, including Iceland</t>
  </si>
  <si>
    <t>13-16 Aug 2009</t>
  </si>
  <si>
    <t>HAR (Hacking At Random) Tech Conference 2009 PLAYLIST. Julian appears in Parts 3 (Intro) 4 (censorship) 5, 6 (economic censorship) &amp; more</t>
  </si>
  <si>
    <t>Netherlands</t>
  </si>
  <si>
    <t>In 9 Parts - more parts on the same channel</t>
  </si>
  <si>
    <t>Interview by Luca Galassi</t>
  </si>
  <si>
    <t>Risks to whistleblowers and journalists.</t>
  </si>
  <si>
    <t>Julian Assange
Daniel Domscheit-Berg</t>
  </si>
  <si>
    <t>??</t>
  </si>
  <si>
    <t xml:space="preserve">25th Chaos Communication Congress </t>
  </si>
  <si>
    <t>Wikileaks activities during the year</t>
  </si>
  <si>
    <t>Berlin</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</si>
</sst>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d&quot;-&quot;mmm&quot;-&quot;yyyy"/>
    <numFmt numFmtId="165" formatCode="d&quot; &quot;mmm&quot; &quot;yyyy"/>
    <numFmt numFmtId="166" formatCode="h&quot;:&quot;mm"/>
    <numFmt numFmtId="167" formatCode="d mmm yyyy"/>
    <numFmt numFmtId="168" formatCode="d mmmm yyyy"/>
    <numFmt numFmtId="169" formatCode="&quot;-&quot;mmm&quot;-&quot;yyyy"/>
    <numFmt numFmtId="170" formatCode="mmm yyyy"/>
  </numFmts>
  <fonts count="56">
    <font>
      <sz val="10.0"/>
      <color rgb="FF000000"/>
      <name val="Arial"/>
    </font>
    <font>
      <sz val="8.0"/>
      <name val="Calibri"/>
    </font>
    <font>
      <b/>
      <sz val="18.0"/>
      <name val="Calibri"/>
    </font>
    <font/>
    <font>
      <sz val="9.0"/>
      <name val="Verdana"/>
    </font>
    <font>
      <name val="Verdana"/>
    </font>
    <font>
      <sz val="18.0"/>
      <color rgb="FFFF0000"/>
      <name val="Calibri"/>
    </font>
    <font>
      <u/>
      <color rgb="FF0000FF"/>
      <name val="Verdana"/>
    </font>
    <font>
      <b/>
      <sz val="8.0"/>
      <name val="Calibri"/>
    </font>
    <font>
      <b/>
      <sz val="9.0"/>
      <name val="Verdana"/>
    </font>
    <font>
      <sz val="8.0"/>
    </font>
    <font>
      <u/>
      <color rgb="FF0000FF"/>
    </font>
    <font>
      <sz val="9.0"/>
      <color rgb="FF303030"/>
      <name val="Verdana"/>
    </font>
    <font>
      <sz val="9.0"/>
      <color rgb="FF093A41"/>
      <name val="Verdana"/>
    </font>
    <font>
      <sz val="8.0"/>
      <color rgb="FFF3F3F3"/>
    </font>
    <font>
      <b/>
      <sz val="9.0"/>
      <color rgb="FF000000"/>
      <name val="Verdana"/>
    </font>
    <font>
      <sz val="9.0"/>
      <color rgb="FF333333"/>
      <name val="Verdana"/>
    </font>
    <font>
      <b/>
      <sz val="9.0"/>
      <color rgb="FF333333"/>
      <name val="Verdana"/>
    </font>
    <font>
      <b/>
      <sz val="9.0"/>
      <color rgb="FF303030"/>
      <name val="Verdana"/>
    </font>
    <font>
      <sz val="9.0"/>
      <color rgb="FF000000"/>
      <name val="Verdana"/>
    </font>
    <font>
      <sz val="9.0"/>
      <color rgb="FF303030"/>
      <name val="Arial"/>
    </font>
    <font>
      <sz val="7.0"/>
      <name val="Calibri"/>
    </font>
    <font>
      <u/>
      <sz val="9.0"/>
      <color rgb="FF303030"/>
      <name val="Arial"/>
    </font>
    <font>
      <u/>
      <color rgb="FF0000FF"/>
    </font>
    <font>
      <name val="Calibri"/>
    </font>
    <font>
      <sz val="8.0"/>
      <color rgb="FFFFFFFF"/>
    </font>
    <font>
      <b/>
      <sz val="10.0"/>
      <name val="Calibri"/>
    </font>
    <font>
      <sz val="7.0"/>
    </font>
    <font>
      <u/>
      <sz val="8.0"/>
      <color rgb="FF0000FF"/>
    </font>
    <font>
      <sz val="7.0"/>
      <color rgb="FF0000FF"/>
      <name val="Arial"/>
    </font>
    <font>
      <sz val="8.0"/>
      <name val="Roboto"/>
    </font>
    <font>
      <u/>
      <sz val="7.0"/>
      <color rgb="FF0000FF"/>
      <name val="Arial"/>
    </font>
    <font>
      <u/>
      <sz val="8.0"/>
      <color rgb="FF0000FF"/>
    </font>
    <font>
      <sz val="8.0"/>
      <color rgb="FF0000FF"/>
      <name val="Arial"/>
    </font>
    <font>
      <sz val="8.0"/>
      <color rgb="FFFFFFFF"/>
      <name val="Roboto"/>
    </font>
    <font>
      <u/>
      <sz val="8.0"/>
      <color rgb="FF0000FF"/>
      <name val="Arial"/>
    </font>
    <font>
      <sz val="20.0"/>
      <color rgb="FF14171A"/>
      <name val="Arial"/>
    </font>
    <font>
      <u/>
      <sz val="8.0"/>
      <color rgb="FFFFFFFF"/>
    </font>
    <font>
      <u/>
      <sz val="8.0"/>
      <color rgb="FF0000FF"/>
    </font>
    <font>
      <u/>
      <sz val="7.0"/>
      <color rgb="FF0000FF"/>
    </font>
    <font>
      <u/>
      <sz val="8.0"/>
      <color rgb="FF0000FF"/>
    </font>
    <font>
      <sz val="10.0"/>
      <color rgb="FFFFFFFF"/>
      <name val="Roboto"/>
    </font>
    <font>
      <u/>
      <sz val="7.0"/>
      <color rgb="FF0000FF"/>
    </font>
    <font>
      <sz val="8.0"/>
      <color rgb="FF000000"/>
      <name val="Arial"/>
    </font>
    <font>
      <u/>
      <sz val="8.0"/>
      <color rgb="FFFFFFFF"/>
      <name val="Roboto"/>
    </font>
    <font>
      <u/>
      <sz val="8.0"/>
      <color rgb="FFFFFFFF"/>
      <name val="Roboto"/>
    </font>
    <font>
      <sz val="8.0"/>
      <name val="Arial"/>
    </font>
    <font>
      <u/>
      <sz val="7.0"/>
      <color rgb="FF0000FF"/>
    </font>
    <font>
      <u/>
      <sz val="8.0"/>
      <color rgb="FF0000FF"/>
      <name val="Arial"/>
    </font>
    <font>
      <sz val="8.0"/>
      <color rgb="FFFFFFFF"/>
      <name val="Arial"/>
    </font>
    <font>
      <u/>
      <sz val="8.0"/>
      <color rgb="FF0000FF"/>
    </font>
    <font>
      <sz val="7.0"/>
      <color rgb="FFFFFFFF"/>
    </font>
    <font>
      <u/>
      <sz val="8.0"/>
      <color rgb="FF0000FF"/>
    </font>
    <font>
      <sz val="9.0"/>
      <color rgb="FFFFFFFF"/>
    </font>
    <font>
      <sz val="8.0"/>
      <color rgb="FF000000"/>
      <name val="Roboto"/>
    </font>
    <font>
      <sz val="8.0"/>
      <color rgb="FF0D0D0D"/>
      <name val="Arial"/>
    </font>
  </fonts>
  <fills count="19">
    <fill>
      <patternFill patternType="none"/>
    </fill>
    <fill>
      <patternFill patternType="lightGray"/>
    </fill>
    <fill>
      <patternFill patternType="solid">
        <fgColor rgb="FFFFFF00"/>
        <bgColor rgb="FFFFFF00"/>
      </patternFill>
    </fill>
    <fill>
      <patternFill patternType="solid">
        <fgColor rgb="FFF3F3F3"/>
        <bgColor rgb="FFF3F3F3"/>
      </patternFill>
    </fill>
    <fill>
      <patternFill patternType="solid">
        <fgColor rgb="FF666666"/>
        <bgColor rgb="FF666666"/>
      </patternFill>
    </fill>
    <fill>
      <patternFill patternType="solid">
        <fgColor rgb="FFFFFFFF"/>
        <bgColor rgb="FFFFFFFF"/>
      </patternFill>
    </fill>
    <fill>
      <patternFill patternType="solid">
        <fgColor rgb="FFD9EAD3"/>
        <bgColor rgb="FFD9EAD3"/>
      </patternFill>
    </fill>
    <fill>
      <patternFill patternType="solid">
        <fgColor rgb="FFFF0000"/>
        <bgColor rgb="FFFF0000"/>
      </patternFill>
    </fill>
    <fill>
      <patternFill patternType="solid">
        <fgColor rgb="FF434343"/>
        <bgColor rgb="FF434343"/>
      </patternFill>
    </fill>
    <fill>
      <patternFill patternType="solid">
        <fgColor rgb="FF0B5394"/>
        <bgColor rgb="FF0B5394"/>
      </patternFill>
    </fill>
    <fill>
      <patternFill patternType="solid">
        <fgColor rgb="FFEAD1DC"/>
        <bgColor rgb="FFEAD1DC"/>
      </patternFill>
    </fill>
    <fill>
      <patternFill patternType="solid">
        <fgColor rgb="FFE3F5DC"/>
        <bgColor rgb="FFE3F5DC"/>
      </patternFill>
    </fill>
    <fill>
      <patternFill patternType="solid">
        <fgColor rgb="FFD9D2E9"/>
        <bgColor rgb="FFD9D2E9"/>
      </patternFill>
    </fill>
    <fill>
      <patternFill patternType="solid">
        <fgColor rgb="FFFFF2CC"/>
        <bgColor rgb="FFFFF2CC"/>
      </patternFill>
    </fill>
    <fill>
      <patternFill patternType="solid">
        <fgColor rgb="FFF4CCCC"/>
        <bgColor rgb="FFF4CCCC"/>
      </patternFill>
    </fill>
    <fill>
      <patternFill patternType="solid">
        <fgColor rgb="FFE6B8AF"/>
        <bgColor rgb="FFE6B8AF"/>
      </patternFill>
    </fill>
    <fill>
      <patternFill patternType="solid">
        <fgColor rgb="FFFFE599"/>
        <bgColor rgb="FFFFE599"/>
      </patternFill>
    </fill>
    <fill>
      <patternFill patternType="solid">
        <fgColor rgb="FF9FC5E8"/>
        <bgColor rgb="FF9FC5E8"/>
      </patternFill>
    </fill>
    <fill>
      <patternFill patternType="solid">
        <fgColor rgb="FFF9F9F9"/>
        <bgColor rgb="FFF9F9F9"/>
      </patternFill>
    </fill>
  </fills>
  <borders count="1">
    <border/>
  </borders>
  <cellStyleXfs count="1">
    <xf borderId="0" fillId="0" fontId="0" numFmtId="0" applyAlignment="1" applyFont="1"/>
  </cellStyleXfs>
  <cellXfs count="226">
    <xf borderId="0" fillId="0" fontId="0" numFmtId="0" xfId="0" applyAlignment="1" applyFont="1">
      <alignment readingOrder="0" shrinkToFit="0" vertical="bottom" wrapText="0"/>
    </xf>
    <xf borderId="0" fillId="0" fontId="1" numFmtId="164" xfId="0" applyAlignment="1" applyFont="1" applyNumberFormat="1">
      <alignment horizontal="left" vertical="top"/>
    </xf>
    <xf borderId="0" fillId="0" fontId="1" numFmtId="165" xfId="0" applyAlignment="1" applyFont="1" applyNumberFormat="1">
      <alignment horizontal="center" vertical="top"/>
    </xf>
    <xf borderId="0" fillId="0" fontId="2" numFmtId="164" xfId="0" applyAlignment="1" applyFont="1" applyNumberFormat="1">
      <alignment horizontal="left" readingOrder="0" vertical="bottom"/>
    </xf>
    <xf borderId="0" fillId="0" fontId="1" numFmtId="0" xfId="0" applyAlignment="1" applyFont="1">
      <alignment horizontal="center" vertical="top"/>
    </xf>
    <xf borderId="0" fillId="0" fontId="1" numFmtId="0" xfId="0" applyAlignment="1" applyFont="1">
      <alignment horizontal="center" shrinkToFit="0" vertical="top" wrapText="1"/>
    </xf>
    <xf borderId="0" fillId="0" fontId="1" numFmtId="166" xfId="0" applyAlignment="1" applyFont="1" applyNumberFormat="1">
      <alignment horizontal="center" shrinkToFit="0" vertical="top" wrapText="1"/>
    </xf>
    <xf borderId="0" fillId="0" fontId="2" numFmtId="165" xfId="0" applyAlignment="1" applyFont="1" applyNumberFormat="1">
      <alignment horizontal="left" readingOrder="0" vertical="bottom"/>
    </xf>
    <xf borderId="0" fillId="0" fontId="1" numFmtId="0" xfId="0" applyAlignment="1" applyFont="1">
      <alignment horizontal="left" vertical="top"/>
    </xf>
    <xf borderId="0" fillId="0" fontId="1" numFmtId="0" xfId="0" applyAlignment="1" applyFont="1">
      <alignment horizontal="left" shrinkToFit="0" vertical="top" wrapText="1"/>
    </xf>
    <xf borderId="0" fillId="0" fontId="3" numFmtId="0" xfId="0" applyAlignment="1" applyFont="1">
      <alignment horizontal="center" vertical="top"/>
    </xf>
    <xf borderId="0" fillId="0" fontId="3" numFmtId="0" xfId="0" applyAlignment="1" applyFont="1">
      <alignment horizontal="left"/>
    </xf>
    <xf borderId="0" fillId="2" fontId="4" numFmtId="0" xfId="0" applyAlignment="1" applyFill="1" applyFont="1">
      <alignment horizontal="left" readingOrder="0" shrinkToFit="0" vertical="top" wrapText="1"/>
    </xf>
    <xf borderId="0" fillId="0" fontId="5" numFmtId="0" xfId="0" applyAlignment="1" applyFont="1">
      <alignment shrinkToFit="0" vertical="top" wrapText="1"/>
    </xf>
    <xf borderId="0" fillId="0" fontId="1" numFmtId="165" xfId="0" applyAlignment="1" applyFont="1" applyNumberFormat="1">
      <alignment horizontal="center" shrinkToFit="0" vertical="top" wrapText="0"/>
    </xf>
    <xf borderId="0" fillId="0" fontId="6" numFmtId="165" xfId="0" applyAlignment="1" applyFont="1" applyNumberFormat="1">
      <alignment horizontal="left" readingOrder="0" vertical="top"/>
    </xf>
    <xf borderId="0" fillId="0" fontId="4" numFmtId="0" xfId="0" applyAlignment="1" applyFont="1">
      <alignment horizontal="left" shrinkToFit="0" vertical="top" wrapText="1"/>
    </xf>
    <xf borderId="0" fillId="0" fontId="3" numFmtId="0" xfId="0" applyAlignment="1" applyFont="1">
      <alignment horizontal="center" readingOrder="0"/>
    </xf>
    <xf borderId="0" fillId="0" fontId="5" numFmtId="0" xfId="0" applyAlignment="1" applyFont="1">
      <alignment horizontal="center" readingOrder="0" shrinkToFit="0" vertical="top" wrapText="1"/>
    </xf>
    <xf borderId="0" fillId="0" fontId="7" numFmtId="0" xfId="0" applyAlignment="1" applyFont="1">
      <alignment horizontal="center" readingOrder="0" shrinkToFit="0" vertical="top" wrapText="1"/>
    </xf>
    <xf borderId="0" fillId="0" fontId="1" numFmtId="165" xfId="0" applyAlignment="1" applyFont="1" applyNumberFormat="1">
      <alignment horizontal="center" readingOrder="0" vertical="top"/>
    </xf>
    <xf borderId="0" fillId="0" fontId="4" numFmtId="0" xfId="0" applyAlignment="1" applyFont="1">
      <alignment shrinkToFit="0" vertical="top" wrapText="1"/>
    </xf>
    <xf borderId="0" fillId="3" fontId="8" numFmtId="165" xfId="0" applyAlignment="1" applyFill="1" applyFont="1" applyNumberFormat="1">
      <alignment horizontal="center" readingOrder="0" shrinkToFit="0" vertical="top" wrapText="1"/>
    </xf>
    <xf borderId="0" fillId="3" fontId="8" numFmtId="0" xfId="0" applyAlignment="1" applyFont="1">
      <alignment horizontal="center" readingOrder="0" vertical="top"/>
    </xf>
    <xf borderId="0" fillId="3" fontId="8" numFmtId="0" xfId="0" applyAlignment="1" applyFont="1">
      <alignment horizontal="center" readingOrder="0" shrinkToFit="0" vertical="top" wrapText="1"/>
    </xf>
    <xf borderId="0" fillId="3" fontId="8" numFmtId="0" xfId="0" applyAlignment="1" applyFont="1">
      <alignment readingOrder="0" shrinkToFit="0" vertical="top" wrapText="1"/>
    </xf>
    <xf borderId="0" fillId="3" fontId="9" numFmtId="0" xfId="0" applyAlignment="1" applyFont="1">
      <alignment horizontal="center" readingOrder="0" shrinkToFit="0" vertical="top" wrapText="1"/>
    </xf>
    <xf borderId="0" fillId="4" fontId="9" numFmtId="0" xfId="0" applyAlignment="1" applyFill="1" applyFont="1">
      <alignment horizontal="center" readingOrder="0" shrinkToFit="0" vertical="top" wrapText="1"/>
    </xf>
    <xf borderId="0" fillId="0" fontId="10" numFmtId="165" xfId="0" applyAlignment="1" applyFont="1" applyNumberFormat="1">
      <alignment horizontal="center" vertical="top"/>
    </xf>
    <xf borderId="0" fillId="0" fontId="10" numFmtId="0" xfId="0" applyAlignment="1" applyFont="1">
      <alignment horizontal="center" vertical="top"/>
    </xf>
    <xf borderId="0" fillId="0" fontId="10" numFmtId="0" xfId="0" applyAlignment="1" applyFont="1">
      <alignment horizontal="center" shrinkToFit="0" vertical="top" wrapText="1"/>
    </xf>
    <xf borderId="0" fillId="4" fontId="5" numFmtId="0" xfId="0" applyAlignment="1" applyFont="1">
      <alignment shrinkToFit="0" vertical="top" wrapText="1"/>
    </xf>
    <xf borderId="0" fillId="0" fontId="3" numFmtId="165" xfId="0" applyAlignment="1" applyFont="1" applyNumberFormat="1">
      <alignment horizontal="center"/>
    </xf>
    <xf borderId="0" fillId="0" fontId="3" numFmtId="0" xfId="0" applyAlignment="1" applyFont="1">
      <alignment horizontal="center"/>
    </xf>
    <xf borderId="0" fillId="0" fontId="10" numFmtId="165" xfId="0" applyAlignment="1" applyFont="1" applyNumberFormat="1">
      <alignment horizontal="center" readingOrder="0" vertical="top"/>
    </xf>
    <xf borderId="0" fillId="0" fontId="10" numFmtId="0" xfId="0" applyAlignment="1" applyFont="1">
      <alignment horizontal="center" readingOrder="0" vertical="top"/>
    </xf>
    <xf borderId="0" fillId="0" fontId="10" numFmtId="0" xfId="0" applyAlignment="1" applyFont="1">
      <alignment horizontal="center" readingOrder="0" shrinkToFit="0" vertical="top" wrapText="1"/>
    </xf>
    <xf borderId="0" fillId="0" fontId="11" numFmtId="0" xfId="0" applyAlignment="1" applyFont="1">
      <alignment horizontal="center" readingOrder="0" vertical="top"/>
    </xf>
    <xf borderId="0" fillId="5" fontId="12" numFmtId="0" xfId="0" applyAlignment="1" applyFill="1" applyFont="1">
      <alignment readingOrder="0" shrinkToFit="0" vertical="top" wrapText="1"/>
    </xf>
    <xf borderId="0" fillId="4" fontId="13" numFmtId="0" xfId="0" applyAlignment="1" applyFont="1">
      <alignment readingOrder="0" shrinkToFit="0" vertical="top" wrapText="1"/>
    </xf>
    <xf borderId="0" fillId="5" fontId="13" numFmtId="0" xfId="0" applyAlignment="1" applyFont="1">
      <alignment readingOrder="0" shrinkToFit="0" vertical="top" wrapText="1"/>
    </xf>
    <xf borderId="0" fillId="0" fontId="14" numFmtId="165" xfId="0" applyAlignment="1" applyFont="1" applyNumberFormat="1">
      <alignment horizontal="center" readingOrder="0" vertical="top"/>
    </xf>
    <xf borderId="0" fillId="0" fontId="14" numFmtId="165" xfId="0" applyAlignment="1" applyFont="1" applyNumberFormat="1">
      <alignment horizontal="center" readingOrder="0" shrinkToFit="0" vertical="top" wrapText="1"/>
    </xf>
    <xf borderId="0" fillId="5" fontId="15" numFmtId="0" xfId="0" applyAlignment="1" applyFont="1">
      <alignment readingOrder="0" shrinkToFit="0" vertical="top" wrapText="1"/>
    </xf>
    <xf borderId="0" fillId="0" fontId="5" numFmtId="0" xfId="0" applyAlignment="1" applyFont="1">
      <alignment readingOrder="0" shrinkToFit="0" vertical="top" wrapText="1"/>
    </xf>
    <xf borderId="0" fillId="0" fontId="9" numFmtId="0" xfId="0" applyAlignment="1" applyFont="1">
      <alignment readingOrder="0" shrinkToFit="0" vertical="top" wrapText="1"/>
    </xf>
    <xf borderId="0" fillId="5" fontId="16" numFmtId="0" xfId="0" applyAlignment="1" applyFont="1">
      <alignment readingOrder="0" shrinkToFit="0" vertical="top" wrapText="1"/>
    </xf>
    <xf borderId="0" fillId="4" fontId="5" numFmtId="0" xfId="0" applyAlignment="1" applyFont="1">
      <alignment readingOrder="0" shrinkToFit="0" vertical="top" wrapText="1"/>
    </xf>
    <xf borderId="0" fillId="5" fontId="17" numFmtId="0" xfId="0" applyAlignment="1" applyFont="1">
      <alignment readingOrder="0" shrinkToFit="0" vertical="top" wrapText="1"/>
    </xf>
    <xf borderId="0" fillId="5" fontId="18" numFmtId="0" xfId="0" applyAlignment="1" applyFont="1">
      <alignment readingOrder="0" shrinkToFit="0" vertical="top" wrapText="1"/>
    </xf>
    <xf borderId="0" fillId="5" fontId="19" numFmtId="0" xfId="0" applyAlignment="1" applyFont="1">
      <alignment horizontal="left" readingOrder="0" shrinkToFit="0" vertical="top" wrapText="1"/>
    </xf>
    <xf borderId="0" fillId="5" fontId="16" numFmtId="0" xfId="0" applyAlignment="1" applyFont="1">
      <alignment horizontal="left" readingOrder="0" shrinkToFit="0" vertical="top" wrapText="1"/>
    </xf>
    <xf borderId="0" fillId="5" fontId="20" numFmtId="0" xfId="0" applyAlignment="1" applyFont="1">
      <alignment readingOrder="0" shrinkToFit="0" vertical="top" wrapText="1"/>
    </xf>
    <xf borderId="0" fillId="5" fontId="10" numFmtId="0" xfId="0" applyAlignment="1" applyFont="1">
      <alignment horizontal="center" readingOrder="0" shrinkToFit="0" vertical="top" wrapText="1"/>
    </xf>
    <xf borderId="0" fillId="0" fontId="21" numFmtId="0" xfId="0" applyAlignment="1" applyFont="1">
      <alignment horizontal="center" readingOrder="0" shrinkToFit="0" vertical="center" wrapText="1"/>
    </xf>
    <xf borderId="0" fillId="5" fontId="22" numFmtId="0" xfId="0" applyAlignment="1" applyFont="1">
      <alignment readingOrder="0" shrinkToFit="0" vertical="top" wrapText="1"/>
    </xf>
    <xf borderId="0" fillId="0" fontId="23" numFmtId="0" xfId="0" applyAlignment="1" applyFont="1">
      <alignment readingOrder="0" vertical="center"/>
    </xf>
    <xf borderId="0" fillId="0" fontId="1" numFmtId="0" xfId="0" applyAlignment="1" applyFont="1">
      <alignment readingOrder="0" shrinkToFit="0" vertical="center" wrapText="1"/>
    </xf>
    <xf borderId="0" fillId="0" fontId="1" numFmtId="0" xfId="0" applyAlignment="1" applyFont="1">
      <alignment vertical="top"/>
    </xf>
    <xf borderId="0" fillId="0" fontId="24" numFmtId="0" xfId="0" applyAlignment="1" applyFont="1">
      <alignment vertical="top"/>
    </xf>
    <xf borderId="0" fillId="0" fontId="24" numFmtId="0" xfId="0" applyFont="1"/>
    <xf borderId="0" fillId="0" fontId="1" numFmtId="164" xfId="0" applyAlignment="1" applyFont="1" applyNumberFormat="1">
      <alignment horizontal="center" shrinkToFit="0" vertical="top" wrapText="0"/>
    </xf>
    <xf borderId="0" fillId="0" fontId="6" numFmtId="0" xfId="0" applyAlignment="1" applyFont="1">
      <alignment horizontal="left" readingOrder="0" vertical="top"/>
    </xf>
    <xf borderId="0" fillId="0" fontId="21" numFmtId="0" xfId="0" applyAlignment="1" applyFont="1">
      <alignment horizontal="center" shrinkToFit="0" vertical="top" wrapText="1"/>
    </xf>
    <xf borderId="0" fillId="0" fontId="10" numFmtId="0" xfId="0" applyAlignment="1" applyFont="1">
      <alignment horizontal="center" readingOrder="0" shrinkToFit="0" vertical="top" wrapText="1"/>
    </xf>
    <xf borderId="0" fillId="0" fontId="1" numFmtId="0" xfId="0" applyAlignment="1" applyFont="1">
      <alignment shrinkToFit="0" vertical="top" wrapText="1"/>
    </xf>
    <xf borderId="0" fillId="0" fontId="1" numFmtId="164" xfId="0" applyAlignment="1" applyFont="1" applyNumberFormat="1">
      <alignment horizontal="center" vertical="top"/>
    </xf>
    <xf borderId="0" fillId="0" fontId="1" numFmtId="0" xfId="0" applyAlignment="1" applyFont="1">
      <alignment horizontal="left" readingOrder="0" vertical="top"/>
    </xf>
    <xf borderId="0" fillId="0" fontId="25" numFmtId="165" xfId="0" applyAlignment="1" applyFont="1" applyNumberFormat="1">
      <alignment horizontal="center" readingOrder="0" vertical="top"/>
    </xf>
    <xf borderId="0" fillId="0" fontId="1" numFmtId="0" xfId="0" applyAlignment="1" applyFont="1">
      <alignment readingOrder="0" shrinkToFit="0" vertical="top" wrapText="1"/>
    </xf>
    <xf borderId="0" fillId="0" fontId="1" numFmtId="164" xfId="0" applyAlignment="1" applyFont="1" applyNumberFormat="1">
      <alignment horizontal="center" readingOrder="0" vertical="top"/>
    </xf>
    <xf borderId="0" fillId="3" fontId="8" numFmtId="164" xfId="0" applyAlignment="1" applyFont="1" applyNumberFormat="1">
      <alignment horizontal="center" readingOrder="0" shrinkToFit="0" vertical="top" wrapText="1"/>
    </xf>
    <xf borderId="0" fillId="3" fontId="8" numFmtId="166" xfId="0" applyAlignment="1" applyFont="1" applyNumberFormat="1">
      <alignment horizontal="center" readingOrder="0" shrinkToFit="0" vertical="top" wrapText="1"/>
    </xf>
    <xf borderId="0" fillId="3" fontId="8" numFmtId="0" xfId="0" applyAlignment="1" applyFont="1">
      <alignment vertical="top"/>
    </xf>
    <xf borderId="0" fillId="3" fontId="26" numFmtId="0" xfId="0" applyAlignment="1" applyFont="1">
      <alignment vertical="top"/>
    </xf>
    <xf borderId="0" fillId="3" fontId="26" numFmtId="0" xfId="0" applyFont="1"/>
    <xf borderId="0" fillId="0" fontId="10" numFmtId="164" xfId="0" applyAlignment="1" applyFont="1" applyNumberFormat="1">
      <alignment horizontal="center" vertical="top"/>
    </xf>
    <xf borderId="0" fillId="0" fontId="10" numFmtId="166" xfId="0" applyAlignment="1" applyFont="1" applyNumberFormat="1">
      <alignment horizontal="center" shrinkToFit="0" vertical="top" wrapText="1"/>
    </xf>
    <xf borderId="0" fillId="0" fontId="27" numFmtId="0" xfId="0" applyAlignment="1" applyFont="1">
      <alignment horizontal="center" shrinkToFit="0" vertical="top" wrapText="1"/>
    </xf>
    <xf borderId="0" fillId="0" fontId="10" numFmtId="0" xfId="0" applyAlignment="1" applyFont="1">
      <alignment shrinkToFit="0" vertical="top" wrapText="1"/>
    </xf>
    <xf borderId="0" fillId="0" fontId="10" numFmtId="0" xfId="0" applyAlignment="1" applyFont="1">
      <alignment readingOrder="0" shrinkToFit="0" vertical="top" wrapText="1"/>
    </xf>
    <xf borderId="0" fillId="0" fontId="10" numFmtId="0" xfId="0" applyAlignment="1" applyFont="1">
      <alignment vertical="top"/>
    </xf>
    <xf borderId="0" fillId="0" fontId="3" numFmtId="0" xfId="0" applyAlignment="1" applyFont="1">
      <alignment vertical="top"/>
    </xf>
    <xf borderId="0" fillId="6" fontId="10" numFmtId="167" xfId="0" applyAlignment="1" applyFill="1" applyFont="1" applyNumberFormat="1">
      <alignment horizontal="center" readingOrder="0" vertical="top"/>
    </xf>
    <xf borderId="0" fillId="0" fontId="2" numFmtId="165" xfId="0" applyAlignment="1" applyFont="1" applyNumberFormat="1">
      <alignment horizontal="center" readingOrder="0" vertical="bottom"/>
    </xf>
    <xf borderId="0" fillId="0" fontId="6" numFmtId="165" xfId="0" applyAlignment="1" applyFont="1" applyNumberFormat="1">
      <alignment horizontal="center" readingOrder="0" vertical="top"/>
    </xf>
    <xf borderId="0" fillId="0" fontId="28" numFmtId="0" xfId="0" applyAlignment="1" applyFont="1">
      <alignment horizontal="center" readingOrder="0" shrinkToFit="0" vertical="top" wrapText="1"/>
    </xf>
    <xf borderId="0" fillId="0" fontId="10" numFmtId="20" xfId="0" applyAlignment="1" applyFont="1" applyNumberFormat="1">
      <alignment horizontal="center" readingOrder="0" shrinkToFit="0" vertical="top" wrapText="1"/>
    </xf>
    <xf borderId="0" fillId="0" fontId="8" numFmtId="165" xfId="0" applyAlignment="1" applyFont="1" applyNumberFormat="1">
      <alignment horizontal="center" readingOrder="0" shrinkToFit="0" vertical="top" wrapText="1"/>
    </xf>
    <xf borderId="0" fillId="5" fontId="29" numFmtId="0" xfId="0" applyAlignment="1" applyFont="1">
      <alignment horizontal="center" readingOrder="0" vertical="top"/>
    </xf>
    <xf borderId="0" fillId="5" fontId="30" numFmtId="0" xfId="0" applyAlignment="1" applyFont="1">
      <alignment readingOrder="0" shrinkToFit="0" vertical="top" wrapText="1"/>
    </xf>
    <xf borderId="0" fillId="0" fontId="10" numFmtId="0" xfId="0" applyAlignment="1" applyFont="1">
      <alignment horizontal="center" readingOrder="0" vertical="top"/>
    </xf>
    <xf borderId="0" fillId="6" fontId="10" numFmtId="164" xfId="0" applyAlignment="1" applyFont="1" applyNumberFormat="1">
      <alignment horizontal="center" readingOrder="0" vertical="top"/>
    </xf>
    <xf borderId="0" fillId="5" fontId="31" numFmtId="0" xfId="0" applyAlignment="1" applyFont="1">
      <alignment horizontal="center" readingOrder="0" vertical="top"/>
    </xf>
    <xf borderId="0" fillId="6" fontId="10" numFmtId="168" xfId="0" applyAlignment="1" applyFont="1" applyNumberFormat="1">
      <alignment horizontal="center" readingOrder="0" vertical="top"/>
    </xf>
    <xf borderId="0" fillId="6" fontId="10" numFmtId="0" xfId="0" applyAlignment="1" applyFont="1">
      <alignment horizontal="center" readingOrder="0" vertical="top"/>
    </xf>
    <xf borderId="0" fillId="0" fontId="32" numFmtId="0" xfId="0" applyAlignment="1" applyFont="1">
      <alignment horizontal="center" readingOrder="0" vertical="top"/>
    </xf>
    <xf borderId="0" fillId="5" fontId="33" numFmtId="0" xfId="0" applyAlignment="1" applyFont="1">
      <alignment horizontal="center" readingOrder="0" vertical="top"/>
    </xf>
    <xf borderId="0" fillId="7" fontId="25" numFmtId="164" xfId="0" applyAlignment="1" applyFill="1" applyFont="1" applyNumberFormat="1">
      <alignment horizontal="center" readingOrder="0" vertical="top"/>
    </xf>
    <xf borderId="0" fillId="7" fontId="25" numFmtId="0" xfId="0" applyAlignment="1" applyFont="1">
      <alignment horizontal="center" readingOrder="0" vertical="top"/>
    </xf>
    <xf borderId="0" fillId="7" fontId="10" numFmtId="0" xfId="0" applyAlignment="1" applyFont="1">
      <alignment horizontal="center" readingOrder="0" vertical="top"/>
    </xf>
    <xf borderId="0" fillId="7" fontId="10" numFmtId="0" xfId="0" applyAlignment="1" applyFont="1">
      <alignment horizontal="center" readingOrder="0" shrinkToFit="0" vertical="top" wrapText="1"/>
    </xf>
    <xf borderId="0" fillId="7" fontId="10" numFmtId="0" xfId="0" applyAlignment="1" applyFont="1">
      <alignment horizontal="center" readingOrder="0" shrinkToFit="0" vertical="top" wrapText="1"/>
    </xf>
    <xf borderId="0" fillId="7" fontId="33" numFmtId="0" xfId="0" applyAlignment="1" applyFont="1">
      <alignment horizontal="center" readingOrder="0" vertical="top"/>
    </xf>
    <xf borderId="0" fillId="7" fontId="34" numFmtId="0" xfId="0" applyAlignment="1" applyFont="1">
      <alignment readingOrder="0" shrinkToFit="0" vertical="top" wrapText="1"/>
    </xf>
    <xf borderId="0" fillId="7" fontId="10" numFmtId="0" xfId="0" applyAlignment="1" applyFont="1">
      <alignment readingOrder="0" shrinkToFit="0" vertical="top" wrapText="1"/>
    </xf>
    <xf borderId="0" fillId="7" fontId="10" numFmtId="0" xfId="0" applyAlignment="1" applyFont="1">
      <alignment horizontal="center" vertical="top"/>
    </xf>
    <xf borderId="0" fillId="5" fontId="35" numFmtId="0" xfId="0" applyAlignment="1" applyFont="1">
      <alignment horizontal="center" readingOrder="0" vertical="top"/>
    </xf>
    <xf borderId="0" fillId="6" fontId="10" numFmtId="164" xfId="0" applyAlignment="1" applyFont="1" applyNumberFormat="1">
      <alignment horizontal="center" readingOrder="0" vertical="top"/>
    </xf>
    <xf borderId="0" fillId="6" fontId="10" numFmtId="169" xfId="0" applyAlignment="1" applyFont="1" applyNumberFormat="1">
      <alignment horizontal="center" readingOrder="0" vertical="top"/>
    </xf>
    <xf borderId="0" fillId="5" fontId="36" numFmtId="0" xfId="0" applyAlignment="1" applyFont="1">
      <alignment readingOrder="0"/>
    </xf>
    <xf borderId="0" fillId="8" fontId="25" numFmtId="164" xfId="0" applyAlignment="1" applyFill="1" applyFont="1" applyNumberFormat="1">
      <alignment horizontal="center" readingOrder="0" vertical="top"/>
    </xf>
    <xf borderId="0" fillId="8" fontId="34" numFmtId="0" xfId="0" applyAlignment="1" applyFont="1">
      <alignment readingOrder="0" shrinkToFit="0" vertical="top" wrapText="1"/>
    </xf>
    <xf borderId="0" fillId="9" fontId="25" numFmtId="0" xfId="0" applyAlignment="1" applyFill="1" applyFont="1">
      <alignment horizontal="center" readingOrder="0" vertical="top"/>
    </xf>
    <xf borderId="0" fillId="9" fontId="37" numFmtId="0" xfId="0" applyAlignment="1" applyFont="1">
      <alignment horizontal="center" readingOrder="0" shrinkToFit="0" vertical="top" wrapText="1"/>
    </xf>
    <xf borderId="0" fillId="9" fontId="25" numFmtId="0" xfId="0" applyAlignment="1" applyFont="1">
      <alignment readingOrder="0" shrinkToFit="0" vertical="top" wrapText="1"/>
    </xf>
    <xf borderId="0" fillId="10" fontId="10" numFmtId="164" xfId="0" applyAlignment="1" applyFill="1" applyFont="1" applyNumberFormat="1">
      <alignment horizontal="center" readingOrder="0" vertical="top"/>
    </xf>
    <xf borderId="0" fillId="10" fontId="10" numFmtId="167" xfId="0" applyAlignment="1" applyFont="1" applyNumberFormat="1">
      <alignment horizontal="center" readingOrder="0" vertical="top"/>
    </xf>
    <xf borderId="0" fillId="5" fontId="38" numFmtId="0" xfId="0" applyAlignment="1" applyFont="1">
      <alignment horizontal="center" readingOrder="0" shrinkToFit="0" vertical="top" wrapText="1"/>
    </xf>
    <xf borderId="0" fillId="4" fontId="25" numFmtId="164" xfId="0" applyAlignment="1" applyFont="1" applyNumberFormat="1">
      <alignment horizontal="center" readingOrder="0" vertical="top"/>
    </xf>
    <xf borderId="0" fillId="4" fontId="25" numFmtId="167" xfId="0" applyAlignment="1" applyFont="1" applyNumberFormat="1">
      <alignment horizontal="center" readingOrder="0" vertical="top"/>
    </xf>
    <xf borderId="0" fillId="4" fontId="25" numFmtId="0" xfId="0" applyAlignment="1" applyFont="1">
      <alignment horizontal="center" readingOrder="0" vertical="top"/>
    </xf>
    <xf borderId="0" fillId="0" fontId="39" numFmtId="0" xfId="0" applyAlignment="1" applyFont="1">
      <alignment horizontal="center" readingOrder="0" shrinkToFit="0" vertical="top" wrapText="1"/>
    </xf>
    <xf borderId="0" fillId="4" fontId="34" numFmtId="0" xfId="0" applyAlignment="1" applyFont="1">
      <alignment readingOrder="0" shrinkToFit="0" vertical="top" wrapText="1"/>
    </xf>
    <xf borderId="0" fillId="0" fontId="10" numFmtId="0" xfId="0" applyAlignment="1" applyFont="1">
      <alignment shrinkToFit="0" vertical="top" wrapText="1"/>
    </xf>
    <xf borderId="0" fillId="0" fontId="40" numFmtId="0" xfId="0" applyAlignment="1" applyFont="1">
      <alignment shrinkToFit="0" vertical="top" wrapText="1"/>
    </xf>
    <xf borderId="0" fillId="5" fontId="30" numFmtId="0" xfId="0" applyAlignment="1" applyFont="1">
      <alignment readingOrder="0" shrinkToFit="0" vertical="top" wrapText="1"/>
    </xf>
    <xf borderId="0" fillId="10" fontId="10" numFmtId="164" xfId="0" applyAlignment="1" applyFont="1" applyNumberFormat="1">
      <alignment horizontal="center" readingOrder="0" vertical="top"/>
    </xf>
    <xf borderId="0" fillId="7" fontId="14" numFmtId="164" xfId="0" applyAlignment="1" applyFont="1" applyNumberFormat="1">
      <alignment horizontal="center" readingOrder="0" vertical="top"/>
    </xf>
    <xf borderId="0" fillId="7" fontId="14" numFmtId="167" xfId="0" applyAlignment="1" applyFont="1" applyNumberFormat="1">
      <alignment horizontal="center" readingOrder="0" shrinkToFit="0" vertical="top" wrapText="1"/>
    </xf>
    <xf borderId="0" fillId="7" fontId="25" numFmtId="164" xfId="0" applyAlignment="1" applyFont="1" applyNumberFormat="1">
      <alignment horizontal="center" readingOrder="0" vertical="top"/>
    </xf>
    <xf borderId="0" fillId="0" fontId="10" numFmtId="166" xfId="0" applyAlignment="1" applyFont="1" applyNumberFormat="1">
      <alignment horizontal="center" readingOrder="0" shrinkToFit="0" vertical="top" wrapText="1"/>
    </xf>
    <xf borderId="0" fillId="0" fontId="27" numFmtId="0" xfId="0" applyAlignment="1" applyFont="1">
      <alignment horizontal="center" readingOrder="0" shrinkToFit="0" vertical="top" wrapText="1"/>
    </xf>
    <xf borderId="0" fillId="7" fontId="25" numFmtId="0" xfId="0" applyAlignment="1" applyFont="1">
      <alignment readingOrder="0" shrinkToFit="0" vertical="top" wrapText="1"/>
    </xf>
    <xf borderId="0" fillId="7" fontId="25" numFmtId="164" xfId="0" applyAlignment="1" applyFont="1" applyNumberFormat="1">
      <alignment horizontal="center" readingOrder="0" vertical="center"/>
    </xf>
    <xf borderId="0" fillId="7" fontId="25" numFmtId="0" xfId="0" applyAlignment="1" applyFont="1">
      <alignment horizontal="center" readingOrder="0" vertical="center"/>
    </xf>
    <xf borderId="0" fillId="7" fontId="10" numFmtId="0" xfId="0" applyAlignment="1" applyFont="1">
      <alignment horizontal="center" readingOrder="0" vertical="center"/>
    </xf>
    <xf borderId="0" fillId="7" fontId="10" numFmtId="0" xfId="0" applyAlignment="1" applyFont="1">
      <alignment horizontal="center" readingOrder="0" shrinkToFit="0" vertical="center" wrapText="1"/>
    </xf>
    <xf borderId="0" fillId="7" fontId="10" numFmtId="0" xfId="0" applyAlignment="1" applyFont="1">
      <alignment horizontal="center" readingOrder="0" shrinkToFit="0" vertical="center" wrapText="1"/>
    </xf>
    <xf borderId="0" fillId="7" fontId="27" numFmtId="0" xfId="0" applyAlignment="1" applyFont="1">
      <alignment horizontal="center" readingOrder="0" shrinkToFit="0" vertical="center" wrapText="1"/>
    </xf>
    <xf borderId="0" fillId="7" fontId="41" numFmtId="0" xfId="0" applyAlignment="1" applyFont="1">
      <alignment readingOrder="0" shrinkToFit="0" vertical="center" wrapText="1"/>
    </xf>
    <xf borderId="0" fillId="7" fontId="10" numFmtId="0" xfId="0" applyAlignment="1" applyFont="1">
      <alignment readingOrder="0" shrinkToFit="0" vertical="center" wrapText="1"/>
    </xf>
    <xf borderId="0" fillId="7" fontId="10" numFmtId="0" xfId="0" applyAlignment="1" applyFont="1">
      <alignment horizontal="center" shrinkToFit="0" vertical="center" wrapText="1"/>
    </xf>
    <xf borderId="0" fillId="7" fontId="10" numFmtId="0" xfId="0" applyAlignment="1" applyFont="1">
      <alignment horizontal="center" vertical="center"/>
    </xf>
    <xf borderId="0" fillId="0" fontId="10" numFmtId="0" xfId="0" applyAlignment="1" applyFont="1">
      <alignment vertical="center"/>
    </xf>
    <xf borderId="0" fillId="0" fontId="3" numFmtId="0" xfId="0" applyAlignment="1" applyFont="1">
      <alignment vertical="center"/>
    </xf>
    <xf quotePrefix="1" borderId="0" fillId="0" fontId="10" numFmtId="0" xfId="0" applyAlignment="1" applyFont="1">
      <alignment horizontal="center" readingOrder="0" shrinkToFit="0" vertical="top" wrapText="1"/>
    </xf>
    <xf borderId="0" fillId="5" fontId="10" numFmtId="21" xfId="0" applyAlignment="1" applyFont="1" applyNumberFormat="1">
      <alignment horizontal="center" readingOrder="0" shrinkToFit="0" vertical="top" wrapText="1"/>
    </xf>
    <xf borderId="0" fillId="5" fontId="42" numFmtId="0" xfId="0" applyAlignment="1" applyFont="1">
      <alignment horizontal="center" readingOrder="0" shrinkToFit="0" vertical="top" wrapText="1"/>
    </xf>
    <xf borderId="0" fillId="5" fontId="10" numFmtId="0" xfId="0" applyAlignment="1" applyFont="1">
      <alignment readingOrder="0" shrinkToFit="0" vertical="top" wrapText="1"/>
    </xf>
    <xf borderId="0" fillId="5" fontId="10" numFmtId="20" xfId="0" applyAlignment="1" applyFont="1" applyNumberFormat="1">
      <alignment horizontal="center" readingOrder="0" shrinkToFit="0" vertical="top" wrapText="1"/>
    </xf>
    <xf borderId="0" fillId="5" fontId="27" numFmtId="0" xfId="0" applyAlignment="1" applyFont="1">
      <alignment horizontal="center" readingOrder="0" shrinkToFit="0" vertical="top" wrapText="1"/>
    </xf>
    <xf quotePrefix="1" borderId="0" fillId="5" fontId="10" numFmtId="0" xfId="0" applyAlignment="1" applyFont="1">
      <alignment horizontal="center" readingOrder="0" shrinkToFit="0" vertical="top" wrapText="1"/>
    </xf>
    <xf borderId="0" fillId="0" fontId="27" numFmtId="0" xfId="0" applyAlignment="1" applyFont="1">
      <alignment horizontal="center" readingOrder="0" shrinkToFit="0" vertical="top" wrapText="1"/>
    </xf>
    <xf borderId="0" fillId="0" fontId="10" numFmtId="21" xfId="0" applyAlignment="1" applyFont="1" applyNumberFormat="1">
      <alignment horizontal="center" readingOrder="0" shrinkToFit="0" vertical="top" wrapText="1"/>
    </xf>
    <xf borderId="0" fillId="5" fontId="43" numFmtId="0" xfId="0" applyAlignment="1" applyFont="1">
      <alignment horizontal="left" readingOrder="0" vertical="top"/>
    </xf>
    <xf borderId="0" fillId="11" fontId="10" numFmtId="164" xfId="0" applyAlignment="1" applyFill="1" applyFont="1" applyNumberFormat="1">
      <alignment horizontal="center" readingOrder="0" vertical="top"/>
    </xf>
    <xf borderId="0" fillId="12" fontId="10" numFmtId="164" xfId="0" applyAlignment="1" applyFill="1" applyFont="1" applyNumberFormat="1">
      <alignment horizontal="center" readingOrder="0" vertical="top"/>
    </xf>
    <xf borderId="0" fillId="5" fontId="30" numFmtId="0" xfId="0" applyAlignment="1" applyFont="1">
      <alignment readingOrder="0" shrinkToFit="0" wrapText="1"/>
    </xf>
    <xf borderId="0" fillId="12" fontId="10" numFmtId="167" xfId="0" applyAlignment="1" applyFont="1" applyNumberFormat="1">
      <alignment horizontal="center" readingOrder="0" vertical="top"/>
    </xf>
    <xf borderId="0" fillId="12" fontId="10" numFmtId="0" xfId="0" applyAlignment="1" applyFont="1">
      <alignment horizontal="center" readingOrder="0" vertical="top"/>
    </xf>
    <xf borderId="0" fillId="8" fontId="34" numFmtId="165" xfId="0" applyAlignment="1" applyFont="1" applyNumberFormat="1">
      <alignment horizontal="center" readingOrder="0" shrinkToFit="0" vertical="center" wrapText="1"/>
    </xf>
    <xf borderId="0" fillId="8" fontId="34" numFmtId="0" xfId="0" applyAlignment="1" applyFont="1">
      <alignment readingOrder="0" shrinkToFit="0" vertical="center" wrapText="1"/>
    </xf>
    <xf borderId="0" fillId="8" fontId="41" numFmtId="0" xfId="0" applyAlignment="1" applyFont="1">
      <alignment readingOrder="0" shrinkToFit="0" vertical="center" wrapText="1"/>
    </xf>
    <xf borderId="0" fillId="8" fontId="44" numFmtId="0" xfId="0" applyAlignment="1" applyFont="1">
      <alignment readingOrder="0" shrinkToFit="0" vertical="center" wrapText="1"/>
    </xf>
    <xf borderId="0" fillId="5" fontId="43" numFmtId="0" xfId="0" applyAlignment="1" applyFont="1">
      <alignment horizontal="left" readingOrder="0" shrinkToFit="0" vertical="top" wrapText="1"/>
    </xf>
    <xf borderId="0" fillId="12" fontId="10" numFmtId="169" xfId="0" applyAlignment="1" applyFont="1" applyNumberFormat="1">
      <alignment horizontal="center" readingOrder="0" vertical="top"/>
    </xf>
    <xf borderId="0" fillId="8" fontId="34" numFmtId="165" xfId="0" applyAlignment="1" applyFont="1" applyNumberFormat="1">
      <alignment horizontal="center" readingOrder="0" shrinkToFit="0" vertical="top" wrapText="1"/>
    </xf>
    <xf borderId="0" fillId="8" fontId="45" numFmtId="0" xfId="0" applyAlignment="1" applyFont="1">
      <alignment readingOrder="0" shrinkToFit="0" vertical="top" wrapText="1"/>
    </xf>
    <xf borderId="0" fillId="13" fontId="10" numFmtId="164" xfId="0" applyAlignment="1" applyFill="1" applyFont="1" applyNumberFormat="1">
      <alignment horizontal="center" readingOrder="0" vertical="top"/>
    </xf>
    <xf borderId="0" fillId="5" fontId="10" numFmtId="46" xfId="0" applyAlignment="1" applyFont="1" applyNumberFormat="1">
      <alignment horizontal="center" readingOrder="0" shrinkToFit="0" vertical="top" wrapText="1"/>
    </xf>
    <xf borderId="0" fillId="5" fontId="10" numFmtId="0" xfId="0" applyAlignment="1" applyFont="1">
      <alignment horizontal="center" readingOrder="0" shrinkToFit="0" vertical="top" wrapText="1"/>
    </xf>
    <xf borderId="0" fillId="13" fontId="10" numFmtId="167" xfId="0" applyAlignment="1" applyFont="1" applyNumberFormat="1">
      <alignment horizontal="center" readingOrder="0" vertical="top"/>
    </xf>
    <xf borderId="0" fillId="0" fontId="46" numFmtId="0" xfId="0" applyAlignment="1" applyFont="1">
      <alignment readingOrder="0" vertical="top"/>
    </xf>
    <xf borderId="0" fillId="0" fontId="46" numFmtId="0" xfId="0" applyFont="1"/>
    <xf borderId="0" fillId="3" fontId="47" numFmtId="0" xfId="0" applyAlignment="1" applyFont="1">
      <alignment horizontal="center" readingOrder="0" shrinkToFit="0" vertical="top" wrapText="1"/>
    </xf>
    <xf borderId="0" fillId="3" fontId="10" numFmtId="0" xfId="0" applyAlignment="1" applyFont="1">
      <alignment readingOrder="0" shrinkToFit="0" vertical="top" wrapText="1"/>
    </xf>
    <xf borderId="0" fillId="5" fontId="10" numFmtId="0" xfId="0" applyAlignment="1" applyFont="1">
      <alignment horizontal="center" readingOrder="0" vertical="top"/>
    </xf>
    <xf borderId="0" fillId="3" fontId="27" numFmtId="0" xfId="0" applyAlignment="1" applyFont="1">
      <alignment horizontal="center" readingOrder="0" shrinkToFit="0" vertical="top" wrapText="1"/>
    </xf>
    <xf borderId="0" fillId="0" fontId="10" numFmtId="0" xfId="0" applyAlignment="1" applyFont="1">
      <alignment horizontal="left" readingOrder="0" shrinkToFit="0" vertical="top" wrapText="1"/>
    </xf>
    <xf borderId="0" fillId="14" fontId="10" numFmtId="167" xfId="0" applyAlignment="1" applyFill="1" applyFont="1" applyNumberFormat="1">
      <alignment horizontal="center" readingOrder="0" vertical="top"/>
    </xf>
    <xf borderId="0" fillId="14" fontId="10" numFmtId="164" xfId="0" applyAlignment="1" applyFont="1" applyNumberFormat="1">
      <alignment horizontal="center" readingOrder="0" vertical="top"/>
    </xf>
    <xf borderId="0" fillId="0" fontId="27" numFmtId="0" xfId="0" applyAlignment="1" applyFont="1">
      <alignment horizontal="center" readingOrder="0" vertical="top"/>
    </xf>
    <xf borderId="0" fillId="0" fontId="46" numFmtId="0" xfId="0" applyAlignment="1" applyFont="1">
      <alignment horizontal="center" vertical="top"/>
    </xf>
    <xf borderId="0" fillId="0" fontId="48" numFmtId="0" xfId="0" applyAlignment="1" applyFont="1">
      <alignment horizontal="center" readingOrder="0" vertical="top"/>
    </xf>
    <xf borderId="0" fillId="3" fontId="43" numFmtId="0" xfId="0" applyAlignment="1" applyFont="1">
      <alignment horizontal="left" readingOrder="0" shrinkToFit="0" wrapText="1"/>
    </xf>
    <xf borderId="0" fillId="8" fontId="49" numFmtId="0" xfId="0" applyAlignment="1" applyFont="1">
      <alignment horizontal="left" readingOrder="0" shrinkToFit="0" vertical="top" wrapText="1"/>
    </xf>
    <xf borderId="0" fillId="12" fontId="10" numFmtId="168" xfId="0" applyAlignment="1" applyFont="1" applyNumberFormat="1">
      <alignment horizontal="center" readingOrder="0" vertical="top"/>
    </xf>
    <xf borderId="0" fillId="3" fontId="43" numFmtId="0" xfId="0" applyAlignment="1" applyFont="1">
      <alignment horizontal="left" readingOrder="0" shrinkToFit="0" vertical="top" wrapText="1"/>
    </xf>
    <xf borderId="0" fillId="0" fontId="50" numFmtId="0" xfId="0" applyAlignment="1" applyFont="1">
      <alignment horizontal="center" readingOrder="0" shrinkToFit="0" vertical="top" wrapText="1"/>
    </xf>
    <xf quotePrefix="1" borderId="0" fillId="0" fontId="10" numFmtId="166" xfId="0" applyAlignment="1" applyFont="1" applyNumberFormat="1">
      <alignment horizontal="center" shrinkToFit="0" vertical="top" wrapText="1"/>
    </xf>
    <xf borderId="0" fillId="15" fontId="10" numFmtId="164" xfId="0" applyAlignment="1" applyFill="1" applyFont="1" applyNumberFormat="1">
      <alignment horizontal="center" readingOrder="0" vertical="top"/>
    </xf>
    <xf borderId="0" fillId="8" fontId="25" numFmtId="0" xfId="0" applyAlignment="1" applyFont="1">
      <alignment horizontal="center" readingOrder="0" vertical="top"/>
    </xf>
    <xf borderId="0" fillId="8" fontId="25" numFmtId="0" xfId="0" applyAlignment="1" applyFont="1">
      <alignment horizontal="center" readingOrder="0" shrinkToFit="0" vertical="top" wrapText="1"/>
    </xf>
    <xf borderId="0" fillId="8" fontId="25" numFmtId="166" xfId="0" applyAlignment="1" applyFont="1" applyNumberFormat="1">
      <alignment horizontal="center" readingOrder="0" shrinkToFit="0" vertical="top" wrapText="1"/>
    </xf>
    <xf borderId="0" fillId="8" fontId="51" numFmtId="0" xfId="0" applyAlignment="1" applyFont="1">
      <alignment horizontal="center" readingOrder="0" shrinkToFit="0" vertical="top" wrapText="1"/>
    </xf>
    <xf borderId="0" fillId="8" fontId="25" numFmtId="0" xfId="0" applyAlignment="1" applyFont="1">
      <alignment readingOrder="0" shrinkToFit="0" vertical="top" wrapText="1"/>
    </xf>
    <xf borderId="0" fillId="8" fontId="25" numFmtId="0" xfId="0" applyAlignment="1" applyFont="1">
      <alignment shrinkToFit="0" vertical="top" wrapText="1"/>
    </xf>
    <xf borderId="0" fillId="8" fontId="25" numFmtId="0" xfId="0" applyAlignment="1" applyFont="1">
      <alignment horizontal="center" shrinkToFit="0" vertical="top" wrapText="1"/>
    </xf>
    <xf borderId="0" fillId="8" fontId="25" numFmtId="0" xfId="0" applyAlignment="1" applyFont="1">
      <alignment horizontal="center" vertical="top"/>
    </xf>
    <xf borderId="0" fillId="16" fontId="10" numFmtId="164" xfId="0" applyAlignment="1" applyFill="1" applyFont="1" applyNumberFormat="1">
      <alignment horizontal="center" readingOrder="0" vertical="top"/>
    </xf>
    <xf borderId="0" fillId="16" fontId="10" numFmtId="0" xfId="0" applyAlignment="1" applyFont="1">
      <alignment horizontal="center" readingOrder="0" vertical="top"/>
    </xf>
    <xf borderId="0" fillId="16" fontId="10" numFmtId="167" xfId="0" applyAlignment="1" applyFont="1" applyNumberFormat="1">
      <alignment horizontal="center" readingOrder="0" vertical="top"/>
    </xf>
    <xf borderId="0" fillId="16" fontId="10" numFmtId="169" xfId="0" applyAlignment="1" applyFont="1" applyNumberFormat="1">
      <alignment horizontal="center" readingOrder="0" vertical="top"/>
    </xf>
    <xf borderId="0" fillId="0" fontId="10" numFmtId="46" xfId="0" applyAlignment="1" applyFont="1" applyNumberFormat="1">
      <alignment horizontal="center" readingOrder="0" shrinkToFit="0" vertical="top" wrapText="1"/>
    </xf>
    <xf borderId="0" fillId="0" fontId="10" numFmtId="0" xfId="0" applyAlignment="1" applyFont="1">
      <alignment readingOrder="0" shrinkToFit="0" vertical="top" wrapText="1"/>
    </xf>
    <xf borderId="0" fillId="16" fontId="10" numFmtId="168" xfId="0" applyAlignment="1" applyFont="1" applyNumberFormat="1">
      <alignment horizontal="center" readingOrder="0" vertical="top"/>
    </xf>
    <xf borderId="0" fillId="0" fontId="52" numFmtId="0" xfId="0" applyAlignment="1" applyFont="1">
      <alignment readingOrder="0" shrinkToFit="0" vertical="top" wrapText="1"/>
    </xf>
    <xf borderId="0" fillId="0" fontId="27" numFmtId="20" xfId="0" applyAlignment="1" applyFont="1" applyNumberFormat="1">
      <alignment horizontal="center" readingOrder="0" shrinkToFit="0" vertical="top" wrapText="1"/>
    </xf>
    <xf quotePrefix="1" borderId="0" fillId="0" fontId="27" numFmtId="0" xfId="0" applyAlignment="1" applyFont="1">
      <alignment horizontal="center" readingOrder="0" shrinkToFit="0" vertical="top" wrapText="1"/>
    </xf>
    <xf borderId="0" fillId="16" fontId="10" numFmtId="169" xfId="0" applyAlignment="1" applyFont="1" applyNumberFormat="1">
      <alignment horizontal="center" readingOrder="0" vertical="top"/>
    </xf>
    <xf borderId="0" fillId="17" fontId="10" numFmtId="164" xfId="0" applyAlignment="1" applyFill="1" applyFont="1" applyNumberFormat="1">
      <alignment horizontal="center" readingOrder="0" vertical="top"/>
    </xf>
    <xf borderId="0" fillId="7" fontId="10" numFmtId="166" xfId="0" applyAlignment="1" applyFont="1" applyNumberFormat="1">
      <alignment horizontal="center" shrinkToFit="0" vertical="center" wrapText="1"/>
    </xf>
    <xf borderId="0" fillId="7" fontId="53" numFmtId="0" xfId="0" applyAlignment="1" applyFont="1">
      <alignment readingOrder="0" shrinkToFit="0" vertical="center" wrapText="1"/>
    </xf>
    <xf borderId="0" fillId="7" fontId="10" numFmtId="0" xfId="0" applyAlignment="1" applyFont="1">
      <alignment shrinkToFit="0" vertical="center" wrapText="1"/>
    </xf>
    <xf borderId="0" fillId="17" fontId="10" numFmtId="0" xfId="0" applyAlignment="1" applyFont="1">
      <alignment horizontal="center" readingOrder="0" vertical="top"/>
    </xf>
    <xf borderId="0" fillId="8" fontId="25" numFmtId="167" xfId="0" applyAlignment="1" applyFont="1" applyNumberFormat="1">
      <alignment horizontal="center" readingOrder="0" vertical="top"/>
    </xf>
    <xf borderId="0" fillId="8" fontId="14" numFmtId="0" xfId="0" applyAlignment="1" applyFont="1">
      <alignment readingOrder="0" shrinkToFit="0" vertical="top" wrapText="1"/>
    </xf>
    <xf quotePrefix="1" borderId="0" fillId="0" fontId="10" numFmtId="20" xfId="0" applyAlignment="1" applyFont="1" applyNumberFormat="1">
      <alignment horizontal="center" readingOrder="0" shrinkToFit="0" vertical="top" wrapText="1"/>
    </xf>
    <xf borderId="0" fillId="17" fontId="10" numFmtId="169" xfId="0" applyAlignment="1" applyFont="1" applyNumberFormat="1">
      <alignment horizontal="center" readingOrder="0" vertical="top"/>
    </xf>
    <xf borderId="0" fillId="18" fontId="54" numFmtId="0" xfId="0" applyFill="1" applyFont="1"/>
    <xf borderId="0" fillId="17" fontId="10" numFmtId="167" xfId="0" applyAlignment="1" applyFont="1" applyNumberFormat="1">
      <alignment horizontal="center" readingOrder="0" vertical="top"/>
    </xf>
    <xf borderId="0" fillId="0" fontId="27" numFmtId="0" xfId="0" applyAlignment="1" applyFont="1">
      <alignment readingOrder="0" shrinkToFit="0" vertical="top" wrapText="1"/>
    </xf>
    <xf borderId="0" fillId="13" fontId="10" numFmtId="170" xfId="0" applyAlignment="1" applyFont="1" applyNumberFormat="1">
      <alignment horizontal="center" readingOrder="0" vertical="top"/>
    </xf>
    <xf borderId="0" fillId="13" fontId="10" numFmtId="0" xfId="0" applyAlignment="1" applyFont="1">
      <alignment horizontal="center" readingOrder="0" vertical="top"/>
    </xf>
    <xf borderId="0" fillId="18" fontId="55" numFmtId="0" xfId="0" applyAlignment="1" applyFont="1">
      <alignment readingOrder="0"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47625</xdr:colOff>
      <xdr:row>0</xdr:row>
      <xdr:rowOff>0</xdr:rowOff>
    </xdr:from>
    <xdr:ext cx="657225" cy="657225"/>
    <xdr:pic>
      <xdr:nvPicPr>
        <xdr:cNvPr id="0" name="image1.jp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xdr:colOff>
      <xdr:row>0</xdr:row>
      <xdr:rowOff>0</xdr:rowOff>
    </xdr:from>
    <xdr:ext cx="657225" cy="657225"/>
    <xdr:pic>
      <xdr:nvPicPr>
        <xdr:cNvPr id="0" name="image1.jpg" title="Image"/>
        <xdr:cNvPicPr preferRelativeResize="0"/>
      </xdr:nvPicPr>
      <xdr:blipFill>
        <a:blip cstate="print" r:embed="rId1"/>
        <a:stretch>
          <a:fillRect/>
        </a:stretch>
      </xdr:blipFill>
      <xdr:spPr>
        <a:prstGeom prst="rect">
          <a:avLst/>
        </a:prstGeom>
        <a:noFill/>
      </xdr:spPr>
    </xdr:pic>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hyperlink" Target="https://www.pinterest.nz/unity4j/speaking/"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t.co/SUgRJvGHDE" TargetMode="External"/><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2.0" ySplit="6.0" topLeftCell="C7" activePane="bottomRight" state="frozen"/>
      <selection activeCell="C1" sqref="C1" pane="topRight"/>
      <selection activeCell="A7" sqref="A7" pane="bottomLeft"/>
      <selection activeCell="C7" sqref="C7" pane="bottomRight"/>
    </sheetView>
  </sheetViews>
  <sheetFormatPr customHeight="1" defaultColWidth="14.43" defaultRowHeight="15.75"/>
  <cols>
    <col customWidth="1" min="1" max="1" width="11.0"/>
    <col customWidth="1" min="2" max="2" width="11.86"/>
    <col customWidth="1" min="3" max="3" width="6.57"/>
    <col customWidth="1" min="4" max="4" width="7.71"/>
    <col customWidth="1" min="5" max="5" width="12.57"/>
    <col customWidth="1" min="6" max="6" width="7.86"/>
    <col customWidth="1" min="7" max="7" width="10.14"/>
    <col customWidth="1" min="8" max="8" width="37.14"/>
    <col customWidth="1" min="9" max="9" width="16.86"/>
    <col customWidth="1" min="10" max="10" width="14.0"/>
    <col customWidth="1" min="11" max="11" width="8.57"/>
    <col customWidth="1" min="12" max="12" width="14.71"/>
    <col customWidth="1" min="13" max="13" width="8.14"/>
    <col customWidth="1" min="14" max="14" width="11.43"/>
    <col customWidth="1" min="15" max="15" width="11.29"/>
  </cols>
  <sheetData>
    <row r="1" ht="30.75" customHeight="1">
      <c r="A1" s="1"/>
      <c r="B1" s="3" t="s">
        <v>0</v>
      </c>
      <c r="C1" s="4"/>
      <c r="D1" s="4"/>
      <c r="E1" s="5"/>
      <c r="F1" s="6"/>
      <c r="G1" s="54" t="s">
        <v>1</v>
      </c>
      <c r="H1" s="56" t="s">
        <v>40</v>
      </c>
      <c r="I1" s="57" t="s">
        <v>57</v>
      </c>
      <c r="O1" s="4"/>
      <c r="P1" s="58"/>
      <c r="Q1" s="59"/>
      <c r="R1" s="60"/>
      <c r="S1" s="60"/>
      <c r="T1" s="60"/>
      <c r="U1" s="60"/>
      <c r="V1" s="60"/>
      <c r="W1" s="60"/>
      <c r="X1" s="60"/>
      <c r="Y1" s="60"/>
      <c r="Z1" s="60"/>
      <c r="AA1" s="60"/>
      <c r="AB1" s="60"/>
      <c r="AC1" s="60"/>
      <c r="AD1" s="60"/>
      <c r="AE1" s="60"/>
      <c r="AF1" s="60"/>
      <c r="AG1" s="60"/>
    </row>
    <row r="2" ht="21.0" customHeight="1">
      <c r="A2" s="61"/>
      <c r="B2" s="62" t="s">
        <v>81</v>
      </c>
      <c r="C2" s="4"/>
      <c r="D2" s="4"/>
      <c r="E2" s="5"/>
      <c r="F2" s="6"/>
      <c r="G2" s="63"/>
      <c r="H2" s="65"/>
      <c r="I2" s="65"/>
      <c r="J2" s="65"/>
      <c r="K2" s="65"/>
      <c r="L2" s="65"/>
      <c r="M2" s="5"/>
      <c r="N2" s="5"/>
      <c r="O2" s="4"/>
      <c r="P2" s="58"/>
      <c r="Q2" s="59"/>
      <c r="R2" s="60"/>
      <c r="S2" s="60"/>
      <c r="T2" s="60"/>
      <c r="U2" s="60"/>
      <c r="V2" s="60"/>
      <c r="W2" s="60"/>
      <c r="X2" s="60"/>
      <c r="Y2" s="60"/>
      <c r="Z2" s="60"/>
      <c r="AA2" s="60"/>
      <c r="AB2" s="60"/>
      <c r="AC2" s="60"/>
      <c r="AD2" s="60"/>
      <c r="AE2" s="60"/>
      <c r="AF2" s="60"/>
      <c r="AG2" s="60"/>
    </row>
    <row r="3">
      <c r="A3" s="66"/>
      <c r="B3" s="66"/>
      <c r="C3" s="67" t="s">
        <v>100</v>
      </c>
      <c r="D3" s="4"/>
      <c r="E3" s="5"/>
      <c r="F3" s="6"/>
      <c r="G3" s="63"/>
      <c r="H3" s="65"/>
      <c r="I3" s="69"/>
      <c r="J3" s="65"/>
      <c r="K3" s="65"/>
      <c r="L3" s="65"/>
      <c r="M3" s="5"/>
      <c r="N3" s="5"/>
      <c r="O3" s="4"/>
      <c r="P3" s="58"/>
      <c r="Q3" s="59"/>
      <c r="R3" s="60"/>
      <c r="S3" s="60"/>
      <c r="T3" s="60"/>
      <c r="U3" s="60"/>
      <c r="V3" s="60"/>
      <c r="W3" s="60"/>
      <c r="X3" s="60"/>
      <c r="Y3" s="60"/>
      <c r="Z3" s="60"/>
      <c r="AA3" s="60"/>
      <c r="AB3" s="60"/>
      <c r="AC3" s="60"/>
      <c r="AD3" s="60"/>
      <c r="AE3" s="60"/>
      <c r="AF3" s="60"/>
      <c r="AG3" s="60"/>
    </row>
    <row r="4">
      <c r="A4" s="70"/>
      <c r="B4" s="70"/>
      <c r="C4" s="4"/>
      <c r="D4" s="4"/>
      <c r="E4" s="5"/>
      <c r="F4" s="6"/>
      <c r="G4" s="63"/>
      <c r="H4" s="65"/>
      <c r="I4" s="65"/>
      <c r="J4" s="65"/>
      <c r="K4" s="65"/>
      <c r="L4" s="65"/>
      <c r="M4" s="5"/>
      <c r="N4" s="5"/>
      <c r="O4" s="4"/>
      <c r="P4" s="58"/>
      <c r="Q4" s="59"/>
      <c r="R4" s="60"/>
      <c r="S4" s="60"/>
      <c r="T4" s="60"/>
      <c r="U4" s="60"/>
      <c r="V4" s="60"/>
      <c r="W4" s="60"/>
      <c r="X4" s="60"/>
      <c r="Y4" s="60"/>
      <c r="Z4" s="60"/>
      <c r="AA4" s="60"/>
      <c r="AB4" s="60"/>
      <c r="AC4" s="60"/>
      <c r="AD4" s="60"/>
      <c r="AE4" s="60"/>
      <c r="AF4" s="60"/>
      <c r="AG4" s="60"/>
    </row>
    <row r="5">
      <c r="A5" s="24" t="s">
        <v>5</v>
      </c>
      <c r="B5" s="71" t="s">
        <v>6</v>
      </c>
      <c r="C5" s="23" t="s">
        <v>124</v>
      </c>
      <c r="D5" s="23" t="s">
        <v>126</v>
      </c>
      <c r="E5" s="24" t="s">
        <v>7</v>
      </c>
      <c r="F5" s="72" t="s">
        <v>127</v>
      </c>
      <c r="G5" s="24" t="s">
        <v>8</v>
      </c>
      <c r="H5" s="25" t="s">
        <v>141</v>
      </c>
      <c r="I5" s="25" t="s">
        <v>144</v>
      </c>
      <c r="J5" s="25" t="s">
        <v>145</v>
      </c>
      <c r="K5" s="25" t="s">
        <v>146</v>
      </c>
      <c r="L5" s="25" t="s">
        <v>148</v>
      </c>
      <c r="M5" s="25" t="s">
        <v>149</v>
      </c>
      <c r="N5" s="24" t="s">
        <v>150</v>
      </c>
      <c r="O5" s="23" t="s">
        <v>151</v>
      </c>
      <c r="P5" s="73"/>
      <c r="Q5" s="74"/>
      <c r="R5" s="75"/>
      <c r="S5" s="75"/>
      <c r="T5" s="75"/>
      <c r="U5" s="75"/>
      <c r="V5" s="75"/>
      <c r="W5" s="75"/>
      <c r="X5" s="75"/>
      <c r="Y5" s="75"/>
      <c r="Z5" s="75"/>
      <c r="AA5" s="75"/>
      <c r="AB5" s="75"/>
      <c r="AC5" s="75"/>
      <c r="AD5" s="75"/>
      <c r="AE5" s="75"/>
      <c r="AF5" s="75"/>
      <c r="AG5" s="75"/>
    </row>
    <row r="6" ht="4.5" customHeight="1">
      <c r="A6" s="76"/>
      <c r="B6" s="76"/>
      <c r="C6" s="29"/>
      <c r="D6" s="29"/>
      <c r="E6" s="30"/>
      <c r="F6" s="77"/>
      <c r="G6" s="78"/>
      <c r="H6" s="79"/>
      <c r="I6" s="79"/>
      <c r="J6" s="80"/>
      <c r="K6" s="80"/>
      <c r="L6" s="80"/>
      <c r="M6" s="30"/>
      <c r="N6" s="30"/>
      <c r="O6" s="29"/>
      <c r="P6" s="81"/>
      <c r="Q6" s="82"/>
    </row>
    <row r="7">
      <c r="A7" s="83">
        <v>43759.0</v>
      </c>
      <c r="B7" s="83">
        <v>43759.0</v>
      </c>
      <c r="C7" s="35" t="s">
        <v>185</v>
      </c>
      <c r="D7" s="35" t="s">
        <v>187</v>
      </c>
      <c r="E7" s="86" t="str">
        <f>HYPERLINK("https://twitter.com/RT_russian/status/1186277940654415874","LINK - Twitter")</f>
        <v>LINK - Twitter</v>
      </c>
      <c r="F7" s="87"/>
      <c r="G7" s="89"/>
      <c r="H7" s="90" t="s">
        <v>197</v>
      </c>
      <c r="I7" s="80"/>
      <c r="J7" s="80"/>
      <c r="K7" s="80"/>
      <c r="L7" s="80"/>
      <c r="M7" s="36"/>
      <c r="N7" s="36"/>
      <c r="O7" s="91"/>
      <c r="P7" s="81"/>
      <c r="Q7" s="82"/>
    </row>
    <row r="8">
      <c r="A8" s="92">
        <v>43692.0</v>
      </c>
      <c r="B8" s="83">
        <v>43684.0</v>
      </c>
      <c r="C8" s="35" t="s">
        <v>206</v>
      </c>
      <c r="D8" s="35" t="s">
        <v>187</v>
      </c>
      <c r="E8" s="86" t="str">
        <f>HYPERLINK("https://twitter.com/Plucille54/status/1162134069108494337","Link - Twiitter")</f>
        <v>Link - Twiitter</v>
      </c>
      <c r="F8" s="87"/>
      <c r="G8" s="89"/>
      <c r="H8" s="90" t="s">
        <v>215</v>
      </c>
      <c r="I8" s="80"/>
      <c r="J8" s="80"/>
      <c r="K8" s="80"/>
      <c r="L8" s="80"/>
      <c r="M8" s="36"/>
      <c r="N8" s="86" t="str">
        <f>HYPERLINK("https://pbs.twimg.com/media/ECC48hyX4AUld6g?format=jpg&amp;name=small","LETTER (image)")</f>
        <v>LETTER (image)</v>
      </c>
      <c r="O8" s="91"/>
      <c r="P8" s="81"/>
      <c r="Q8" s="82"/>
    </row>
    <row r="9">
      <c r="A9" s="92">
        <v>43692.0</v>
      </c>
      <c r="B9" s="83">
        <v>43606.0</v>
      </c>
      <c r="C9" s="35" t="s">
        <v>206</v>
      </c>
      <c r="D9" s="35" t="s">
        <v>187</v>
      </c>
      <c r="E9" s="86" t="str">
        <f>HYPERLINK("https://twitter.com/people4assange/status/1162152968382062593","Link - Twitter")</f>
        <v>Link - Twitter</v>
      </c>
      <c r="F9" s="87"/>
      <c r="G9" s="89"/>
      <c r="H9" s="90" t="s">
        <v>227</v>
      </c>
      <c r="I9" s="80"/>
      <c r="J9" s="80"/>
      <c r="K9" s="80"/>
      <c r="L9" s="80"/>
      <c r="M9" s="36"/>
      <c r="N9" s="86" t="str">
        <f>HYPERLINK("https://pbs.twimg.com/media/ECC7yphX4AAqAzA?format=png&amp;name=small","LETTER (inage)")</f>
        <v>LETTER (inage)</v>
      </c>
      <c r="O9" s="36"/>
      <c r="P9" s="81"/>
      <c r="Q9" s="82"/>
    </row>
    <row r="10">
      <c r="A10" s="92">
        <v>43635.0</v>
      </c>
      <c r="B10" s="83">
        <v>43665.0</v>
      </c>
      <c r="C10" s="35" t="s">
        <v>185</v>
      </c>
      <c r="D10" s="35" t="s">
        <v>229</v>
      </c>
      <c r="E10" s="86" t="str">
        <f>HYPERLINK("https://youtu.be/hncem4A-BLQ?t=5m16s","LINK - YT")</f>
        <v>LINK - YT</v>
      </c>
      <c r="F10" s="87"/>
      <c r="G10" s="89"/>
      <c r="H10" s="90" t="s">
        <v>234</v>
      </c>
      <c r="I10" s="80"/>
      <c r="J10" s="80"/>
      <c r="K10" s="80"/>
      <c r="L10" s="80"/>
      <c r="M10" s="36"/>
      <c r="N10" s="36"/>
      <c r="O10" s="36"/>
      <c r="P10" s="81"/>
      <c r="Q10" s="82"/>
    </row>
    <row r="11">
      <c r="A11" s="92">
        <v>43633.0</v>
      </c>
      <c r="B11" s="83">
        <v>43633.0</v>
      </c>
      <c r="C11" s="35" t="s">
        <v>206</v>
      </c>
      <c r="D11" s="35" t="s">
        <v>187</v>
      </c>
      <c r="E11" s="86" t="str">
        <f>HYPERLINK("https://twitter.com/wikileaks/status/1140733487739260928","LINK - Twitter")</f>
        <v>LINK - Twitter</v>
      </c>
      <c r="F11" s="87"/>
      <c r="G11" s="89"/>
      <c r="H11" s="90" t="s">
        <v>243</v>
      </c>
      <c r="I11" s="80"/>
      <c r="J11" s="80"/>
      <c r="K11" s="80"/>
      <c r="L11" s="80"/>
      <c r="M11" s="36"/>
      <c r="N11" s="36"/>
      <c r="O11" s="36"/>
      <c r="P11" s="81"/>
      <c r="Q11" s="82"/>
    </row>
    <row r="12">
      <c r="A12" s="92">
        <v>43623.0</v>
      </c>
      <c r="B12" s="83">
        <v>43623.0</v>
      </c>
      <c r="C12" s="35" t="s">
        <v>245</v>
      </c>
      <c r="D12" s="35" t="s">
        <v>246</v>
      </c>
      <c r="E12" s="36"/>
      <c r="F12" s="87"/>
      <c r="G12" s="93" t="str">
        <f>HYPERLINK("https://defend.wikileaks.org/2019/06/07/isolated-surveilled-expelled-how-ecuador-betrayed-julian-assange/","Statement")</f>
        <v>Statement</v>
      </c>
      <c r="H12" s="90" t="s">
        <v>257</v>
      </c>
      <c r="I12" s="80"/>
      <c r="J12" s="80"/>
      <c r="K12" s="80"/>
      <c r="L12" s="80"/>
      <c r="M12" s="36"/>
      <c r="N12" s="36"/>
      <c r="O12" s="36"/>
      <c r="P12" s="81"/>
      <c r="Q12" s="82"/>
    </row>
    <row r="13">
      <c r="A13" s="92">
        <v>43623.0</v>
      </c>
      <c r="B13" s="94">
        <v>43623.0</v>
      </c>
      <c r="C13" s="35" t="s">
        <v>245</v>
      </c>
      <c r="D13" s="35" t="s">
        <v>264</v>
      </c>
      <c r="F13" s="87"/>
      <c r="G13" s="86" t="str">
        <f>HYPERLINK("https://defend.wikileaks.org/wp-content/uploads/2019/06/Timeline-Julian-Assange%E2%80%99s-Expulsion-Arrest.pdf","Document")</f>
        <v>Document</v>
      </c>
      <c r="H13" s="90" t="s">
        <v>273</v>
      </c>
      <c r="I13" s="80"/>
      <c r="J13" s="80"/>
      <c r="K13" s="80"/>
      <c r="L13" s="80"/>
      <c r="M13" s="36"/>
      <c r="N13" s="36"/>
      <c r="O13" s="36"/>
      <c r="P13" s="81"/>
      <c r="Q13" s="82"/>
    </row>
    <row r="14">
      <c r="A14" s="92">
        <v>43623.0</v>
      </c>
      <c r="B14" s="95" t="s">
        <v>275</v>
      </c>
      <c r="C14" s="35" t="s">
        <v>206</v>
      </c>
      <c r="D14" s="35" t="s">
        <v>187</v>
      </c>
      <c r="E14" s="86" t="str">
        <f>HYPERLINK("https://twitter.com/barnabynerberka/status/1137032742531751936","LINK - Twitter")</f>
        <v>LINK - Twitter</v>
      </c>
      <c r="F14" s="87"/>
      <c r="G14" s="89"/>
      <c r="H14" s="90" t="s">
        <v>292</v>
      </c>
      <c r="I14" s="80"/>
      <c r="J14" s="80"/>
      <c r="K14" s="80"/>
      <c r="L14" s="80"/>
      <c r="M14" s="36"/>
      <c r="N14" s="86" t="str">
        <f>HYPERLINK("https://ruptly.tv/en/videos/20190607-010","Full VIDEO")</f>
        <v>Full VIDEO</v>
      </c>
      <c r="O14" s="36"/>
      <c r="P14" s="81"/>
      <c r="Q14" s="82"/>
    </row>
    <row r="15">
      <c r="A15" s="92">
        <v>43622.0</v>
      </c>
      <c r="B15" s="92">
        <v>43622.0</v>
      </c>
      <c r="C15" s="35" t="s">
        <v>206</v>
      </c>
      <c r="D15" s="35" t="s">
        <v>187</v>
      </c>
      <c r="E15" s="86" t="str">
        <f>HYPERLINK("https://twitter.com/wikileaks/status/1136806131211411456","LINK - Twitter")</f>
        <v>LINK - Twitter</v>
      </c>
      <c r="F15" s="87"/>
      <c r="G15" s="89"/>
      <c r="H15" s="90" t="s">
        <v>310</v>
      </c>
      <c r="I15" s="80"/>
      <c r="J15" s="80"/>
      <c r="K15" s="80"/>
      <c r="L15" s="80"/>
      <c r="M15" s="36"/>
      <c r="N15" s="86" t="str">
        <f>HYPERLINK("https://pbs.twimg.com/media/D8a8lfnXkAAL2zm?format=jpg&amp;name=small","Wikileaks Press Statement")</f>
        <v>Wikileaks Press Statement</v>
      </c>
      <c r="P15" s="81"/>
      <c r="Q15" s="82"/>
    </row>
    <row r="16">
      <c r="A16" s="92">
        <v>43621.0</v>
      </c>
      <c r="B16" s="92">
        <v>43621.0</v>
      </c>
      <c r="C16" s="35" t="s">
        <v>206</v>
      </c>
      <c r="D16" s="35" t="s">
        <v>187</v>
      </c>
      <c r="E16" s="86" t="str">
        <f>HYPERLINK("https://twitter.com/wikileaks/status/1136301765899563008","LINK - Twitter")</f>
        <v>LINK - Twitter</v>
      </c>
      <c r="F16" s="87"/>
      <c r="G16" s="89"/>
      <c r="H16" s="90" t="s">
        <v>327</v>
      </c>
      <c r="I16" s="80"/>
      <c r="J16" s="80"/>
      <c r="K16" s="80"/>
      <c r="L16" s="80"/>
      <c r="M16" s="36"/>
      <c r="N16" s="86" t="str">
        <f>HYPERLINK("https://pbs.twimg.com/media/D8TpktxUIAAhN5K?format=jpg&amp;name=900x900","Wikileaks Statement")</f>
        <v>Wikileaks Statement</v>
      </c>
      <c r="P16" s="81"/>
      <c r="Q16" s="82"/>
    </row>
    <row r="17">
      <c r="A17" s="92">
        <v>43621.0</v>
      </c>
      <c r="B17" s="92">
        <v>43621.0</v>
      </c>
      <c r="C17" s="35" t="s">
        <v>206</v>
      </c>
      <c r="D17" s="35" t="s">
        <v>187</v>
      </c>
      <c r="E17" s="86" t="str">
        <f>HYPERLINK("https://twitter.com/wikileaks/status/1136218914898284545","LINK - Twitter")</f>
        <v>LINK - Twitter</v>
      </c>
      <c r="F17" s="87"/>
      <c r="G17" s="89"/>
      <c r="H17" s="90" t="s">
        <v>342</v>
      </c>
      <c r="I17" s="80"/>
      <c r="J17" s="80"/>
      <c r="K17" s="80"/>
      <c r="L17" s="80"/>
      <c r="M17" s="36"/>
      <c r="N17" s="36"/>
      <c r="P17" s="81"/>
      <c r="Q17" s="82"/>
    </row>
    <row r="18">
      <c r="A18" s="92">
        <v>43619.0</v>
      </c>
      <c r="B18" s="92">
        <v>43619.0</v>
      </c>
      <c r="C18" s="35" t="s">
        <v>206</v>
      </c>
      <c r="D18" s="35" t="s">
        <v>187</v>
      </c>
      <c r="E18" s="86" t="str">
        <f>HYPERLINK("https://twitter.com/wikileaks/status/1135532935921250304","LINK - Twitter")</f>
        <v>LINK - Twitter</v>
      </c>
      <c r="F18" s="87"/>
      <c r="G18" s="89"/>
      <c r="H18" s="90" t="s">
        <v>352</v>
      </c>
      <c r="I18" s="80"/>
      <c r="J18" s="80"/>
      <c r="K18" s="80"/>
      <c r="L18" s="80"/>
      <c r="M18" s="36"/>
      <c r="N18" s="86" t="str">
        <f>HYPERLINK("https://pbs.twimg.com/media/D8I47HEXUAgDdUj?format=jpg&amp;name=small","Wikileaks Statement")</f>
        <v>Wikileaks Statement</v>
      </c>
      <c r="P18" s="81"/>
      <c r="Q18" s="82"/>
    </row>
    <row r="19">
      <c r="A19" s="92">
        <v>43614.0</v>
      </c>
      <c r="B19" s="92">
        <v>43614.0</v>
      </c>
      <c r="C19" s="35" t="s">
        <v>206</v>
      </c>
      <c r="D19" s="35" t="s">
        <v>187</v>
      </c>
      <c r="E19" s="86" t="str">
        <f>HYPERLINK("https://twitter.com/khrafnsson/status/1133703469934817282","LINK - Twitter")</f>
        <v>LINK - Twitter</v>
      </c>
      <c r="F19" s="87"/>
      <c r="G19" s="89"/>
      <c r="H19" s="90" t="s">
        <v>369</v>
      </c>
      <c r="I19" s="80"/>
      <c r="J19" s="80"/>
      <c r="K19" s="80"/>
      <c r="L19" s="80"/>
      <c r="M19" s="36"/>
      <c r="N19" s="86" t="str">
        <f>HYPERLINK("https://www.houstonchronicle.com/opinion/outlook/amp/Thiessen-Assange-is-a-spy-not-a-journalist-The-13902097.php?__twitter_impression=true","Houston Chronicle")</f>
        <v>Houston Chronicle</v>
      </c>
      <c r="P19" s="81"/>
      <c r="Q19" s="82"/>
    </row>
    <row r="20">
      <c r="A20" s="92">
        <v>43614.0</v>
      </c>
      <c r="B20" s="92">
        <v>43614.0</v>
      </c>
      <c r="C20" s="35" t="s">
        <v>206</v>
      </c>
      <c r="D20" s="35" t="s">
        <v>187</v>
      </c>
      <c r="E20" s="86" t="str">
        <f>HYPERLINK("https://twitter.com/wikileaks/status/1133847992656715776","LINK - Twitter")</f>
        <v>LINK - Twitter</v>
      </c>
      <c r="F20" s="87"/>
      <c r="G20" s="89"/>
      <c r="H20" s="90" t="s">
        <v>385</v>
      </c>
      <c r="I20" s="80"/>
      <c r="J20" s="80"/>
      <c r="K20" s="80"/>
      <c r="L20" s="80"/>
      <c r="M20" s="36"/>
      <c r="N20" s="36"/>
      <c r="O20" s="91"/>
      <c r="P20" s="81"/>
      <c r="Q20" s="82"/>
    </row>
    <row r="21">
      <c r="A21" s="92">
        <v>43609.0</v>
      </c>
      <c r="B21" s="92"/>
      <c r="C21" s="35" t="s">
        <v>387</v>
      </c>
      <c r="D21" s="35" t="s">
        <v>388</v>
      </c>
      <c r="E21" s="36"/>
      <c r="F21" s="87"/>
      <c r="G21" s="86" t="str">
        <f>HYPERLINK("https://www.wsws.org/en/articles/2019/05/25/assa-m25.html","LINK - WSWS")</f>
        <v>LINK - WSWS</v>
      </c>
      <c r="H21" s="90" t="s">
        <v>396</v>
      </c>
      <c r="I21" s="80"/>
      <c r="J21" s="80"/>
      <c r="K21" s="80"/>
      <c r="L21" s="80"/>
      <c r="M21" s="36"/>
      <c r="N21" s="36" t="s">
        <v>397</v>
      </c>
      <c r="O21" s="96" t="str">
        <f>HYPERLINK("https://youtu.be/Es6OT4VsQAo","VIDEO")</f>
        <v>VIDEO</v>
      </c>
      <c r="P21" s="81"/>
      <c r="Q21" s="82"/>
    </row>
    <row r="22">
      <c r="A22" s="92">
        <v>43609.0</v>
      </c>
      <c r="B22" s="92">
        <v>43609.0</v>
      </c>
      <c r="C22" s="35" t="s">
        <v>412</v>
      </c>
      <c r="D22" s="35" t="s">
        <v>413</v>
      </c>
      <c r="E22" s="86" t="str">
        <f>HYPERLINK("https://twitter.com/wikileaks/status/1131723191100039168","LINK - Twitter")</f>
        <v>LINK - Twitter</v>
      </c>
      <c r="F22" s="87"/>
      <c r="G22" s="93" t="str">
        <f>HYPERLINK("https://wikileaks.org/WikiLeaks-response-espionage-act.html","Statement")</f>
        <v>Statement</v>
      </c>
      <c r="H22" s="90" t="s">
        <v>425</v>
      </c>
      <c r="I22" s="80" t="s">
        <v>427</v>
      </c>
      <c r="J22" s="80"/>
      <c r="K22" s="80"/>
      <c r="L22" s="80"/>
      <c r="M22" s="36"/>
      <c r="N22" s="36"/>
      <c r="O22" s="91"/>
      <c r="P22" s="81"/>
      <c r="Q22" s="82"/>
    </row>
    <row r="23">
      <c r="A23" s="92">
        <v>43608.0</v>
      </c>
      <c r="B23" s="92">
        <v>43608.0</v>
      </c>
      <c r="C23" s="35" t="s">
        <v>429</v>
      </c>
      <c r="D23" s="35" t="s">
        <v>187</v>
      </c>
      <c r="E23" s="86" t="str">
        <f>HYPERLINK("https://twitter.com/khrafnsson/status/1131663637687558146","LINK - Twitter")</f>
        <v>LINK - Twitter</v>
      </c>
      <c r="F23" s="87"/>
      <c r="G23" s="89"/>
      <c r="H23" s="90" t="s">
        <v>438</v>
      </c>
      <c r="I23" s="80" t="s">
        <v>427</v>
      </c>
      <c r="J23" s="80"/>
      <c r="K23" s="80"/>
      <c r="L23" s="80"/>
      <c r="M23" s="36"/>
      <c r="N23" s="36"/>
      <c r="O23" s="91"/>
      <c r="P23" s="81"/>
      <c r="Q23" s="82"/>
    </row>
    <row r="24">
      <c r="A24" s="92">
        <v>43608.0</v>
      </c>
      <c r="B24" s="92">
        <v>43608.0</v>
      </c>
      <c r="C24" s="35" t="s">
        <v>429</v>
      </c>
      <c r="D24" s="35" t="s">
        <v>187</v>
      </c>
      <c r="E24" s="86" t="str">
        <f>HYPERLINK("https://twitter.com/wikileaks/status/1131656403112931331","LINK - Twitter")</f>
        <v>LINK - Twitter</v>
      </c>
      <c r="F24" s="87"/>
      <c r="G24" s="89"/>
      <c r="H24" s="90" t="s">
        <v>450</v>
      </c>
      <c r="I24" s="80" t="s">
        <v>427</v>
      </c>
      <c r="J24" s="80"/>
      <c r="K24" s="80"/>
      <c r="L24" s="80"/>
      <c r="M24" s="36"/>
      <c r="N24" s="86" t="str">
        <f>HYPERLINK("https://t.co/wlhsmsenFw","NYT Article")</f>
        <v>NYT Article</v>
      </c>
      <c r="O24" s="91"/>
      <c r="P24" s="81"/>
      <c r="Q24" s="82"/>
    </row>
    <row r="25">
      <c r="A25" s="92">
        <v>43606.0</v>
      </c>
      <c r="B25" s="92">
        <v>43606.0</v>
      </c>
      <c r="C25" s="35" t="s">
        <v>429</v>
      </c>
      <c r="D25" s="35" t="s">
        <v>187</v>
      </c>
      <c r="E25" s="86" t="str">
        <f>HYPERLINK("https://twitter.com/DefendAssange/status/1130797621612896257","LINK - Twitter")</f>
        <v>LINK - Twitter</v>
      </c>
      <c r="F25" s="87"/>
      <c r="G25" s="89"/>
      <c r="H25" s="90" t="s">
        <v>453</v>
      </c>
      <c r="I25" s="80"/>
      <c r="J25" s="80" t="s">
        <v>454</v>
      </c>
      <c r="K25" s="80"/>
      <c r="L25" s="80"/>
      <c r="M25" s="36"/>
      <c r="N25" s="86" t="str">
        <f>HYPERLINK("https://twitter.com/GuillaumeLong/status/1130796077110702082","Guillaume Long tweet")</f>
        <v>Guillaume Long tweet</v>
      </c>
      <c r="O25" s="91"/>
      <c r="P25" s="81"/>
      <c r="Q25" s="82"/>
    </row>
    <row r="26">
      <c r="A26" s="92">
        <v>43606.0</v>
      </c>
      <c r="B26" s="92">
        <v>43606.0</v>
      </c>
      <c r="C26" s="35" t="s">
        <v>429</v>
      </c>
      <c r="D26" s="35" t="s">
        <v>187</v>
      </c>
      <c r="E26" s="86" t="str">
        <f>HYPERLINK("https://twitter.com/DefendAssange/status/1130783009983127552","LINK - Twitter")</f>
        <v>LINK - Twitter</v>
      </c>
      <c r="F26" s="87"/>
      <c r="G26" s="89"/>
      <c r="H26" s="90" t="s">
        <v>455</v>
      </c>
      <c r="I26" s="80"/>
      <c r="J26" s="80"/>
      <c r="K26" s="80"/>
      <c r="L26" s="80"/>
      <c r="M26" s="36"/>
      <c r="N26" s="86" t="str">
        <f>HYPERLINK("https://wikileaks.org/Ecuador-to-hand-over.html","Website")</f>
        <v>Website</v>
      </c>
      <c r="O26" s="91"/>
      <c r="P26" s="81"/>
      <c r="Q26" s="82"/>
    </row>
    <row r="27">
      <c r="A27" s="92">
        <v>43605.0</v>
      </c>
      <c r="B27" s="92">
        <v>43605.0</v>
      </c>
      <c r="C27" s="35" t="s">
        <v>245</v>
      </c>
      <c r="D27" s="35" t="s">
        <v>412</v>
      </c>
      <c r="E27" s="86" t="str">
        <f>HYPERLINK("https://twitter.com/wikileaks/status/1130396010063310848","LINK - Twitter")</f>
        <v>LINK - Twitter</v>
      </c>
      <c r="F27" s="87"/>
      <c r="G27" s="93" t="str">
        <f>HYPERLINK("https://wikileaks.org/Ecuador-to-hand-over.html","STATEMENT")</f>
        <v>STATEMENT</v>
      </c>
      <c r="H27" s="90" t="s">
        <v>456</v>
      </c>
      <c r="I27" s="80"/>
      <c r="J27" s="80"/>
      <c r="K27" s="80"/>
      <c r="L27" s="80"/>
      <c r="M27" s="36"/>
      <c r="N27" s="36"/>
      <c r="O27" s="91"/>
      <c r="P27" s="81"/>
      <c r="Q27" s="82"/>
    </row>
    <row r="28">
      <c r="A28" s="92">
        <v>43602.0</v>
      </c>
      <c r="B28" s="92">
        <v>43602.0</v>
      </c>
      <c r="C28" s="35" t="s">
        <v>429</v>
      </c>
      <c r="D28" s="35" t="s">
        <v>187</v>
      </c>
      <c r="E28" s="86" t="str">
        <f>HYPERLINK("https://twitter.com/wikileaks/status/1129326294481690624","LINK - Twitter")</f>
        <v>LINK - Twitter</v>
      </c>
      <c r="F28" s="87"/>
      <c r="G28" s="89"/>
      <c r="H28" s="90" t="s">
        <v>457</v>
      </c>
      <c r="I28" s="80"/>
      <c r="J28" s="80"/>
      <c r="K28" s="80"/>
      <c r="L28" s="80"/>
      <c r="M28" s="36"/>
      <c r="N28" s="86" t="str">
        <f>HYPERLINK("https://file.wikileaks.org/file/us-intel-wikileaks.pdf","Report: WL Release 15 Mar 2010")</f>
        <v>Report: WL Release 15 Mar 2010</v>
      </c>
      <c r="O28" s="91"/>
      <c r="P28" s="81"/>
      <c r="Q28" s="82"/>
    </row>
    <row r="29">
      <c r="A29" s="92">
        <v>43601.0</v>
      </c>
      <c r="B29" s="92">
        <v>43601.0</v>
      </c>
      <c r="C29" s="35" t="s">
        <v>429</v>
      </c>
      <c r="D29" s="35" t="s">
        <v>187</v>
      </c>
      <c r="E29" s="86" t="str">
        <f>HYPERLINK("https://twitter.com/khrafnsson/status/1128940213743566849","LINK - Twitter")</f>
        <v>LINK - Twitter</v>
      </c>
      <c r="F29" s="87"/>
      <c r="G29" s="89"/>
      <c r="H29" s="90" t="s">
        <v>458</v>
      </c>
      <c r="I29" s="80" t="s">
        <v>459</v>
      </c>
      <c r="J29" s="80"/>
      <c r="K29" s="80"/>
      <c r="L29" s="80" t="s">
        <v>460</v>
      </c>
      <c r="M29" s="86" t="str">
        <f>HYPERLINK("https://pbs.twimg.com/media/D6rMc8fXoAAg58j.jpg","Image 1: [2011] EWHC 2489 (Admin)")</f>
        <v>Image 1: [2011] EWHC 2489 (Admin)</v>
      </c>
      <c r="N29" s="86" t="str">
        <f>HYPERLINK("https://pbs.twimg.com/media/D6rMfcLW4AABS8t.jpg","Image 2: EA/2017/0041")</f>
        <v>Image 2: EA/2017/0041</v>
      </c>
      <c r="O29" s="91"/>
      <c r="P29" s="81"/>
      <c r="Q29" s="82"/>
    </row>
    <row r="30">
      <c r="A30" s="92">
        <v>43586.0</v>
      </c>
      <c r="B30" s="92">
        <v>43586.0</v>
      </c>
      <c r="C30" s="35" t="s">
        <v>245</v>
      </c>
      <c r="D30" s="35"/>
      <c r="E30" s="36"/>
      <c r="F30" s="87"/>
      <c r="G30" s="93" t="str">
        <f>HYPERLINK("https://www.bbc.com/news/uk-48118908","TRANSCRIPT")</f>
        <v>TRANSCRIPT</v>
      </c>
      <c r="H30" s="90" t="s">
        <v>461</v>
      </c>
      <c r="I30" s="80"/>
      <c r="J30" s="80"/>
      <c r="K30" s="80"/>
      <c r="L30" s="80"/>
      <c r="M30" s="36"/>
      <c r="N30" s="36"/>
      <c r="O30" s="96" t="str">
        <f>HYPERLINK("https://pbs.twimg.com/media/D6MFBdUUUAMPKcP.png","MEME")</f>
        <v>MEME</v>
      </c>
      <c r="P30" s="81"/>
      <c r="Q30" s="82"/>
    </row>
    <row r="31">
      <c r="A31" s="92">
        <v>43582.0</v>
      </c>
      <c r="B31" s="92">
        <v>43582.0</v>
      </c>
      <c r="C31" s="35" t="s">
        <v>429</v>
      </c>
      <c r="D31" s="35" t="s">
        <v>187</v>
      </c>
      <c r="E31" s="86" t="str">
        <f>HYPERLINK("https://twitter.com/wikileaks/status/1122095937269137408","LINK - Twitter")</f>
        <v>LINK - Twitter</v>
      </c>
      <c r="F31" s="87"/>
      <c r="G31" s="97"/>
      <c r="H31" s="90" t="s">
        <v>462</v>
      </c>
      <c r="I31" s="80" t="s">
        <v>463</v>
      </c>
      <c r="J31" s="80"/>
      <c r="K31" s="80"/>
      <c r="L31" s="80"/>
      <c r="M31" s="36"/>
      <c r="N31" s="86" t="str">
        <f>HYPERLINK("https://www.eldiario.es/politica/Assange-Ecuador-conversaciones-fotografiaron-documentos_0_892760932.html","Tweeted article")</f>
        <v>Tweeted article</v>
      </c>
      <c r="O31" s="29"/>
      <c r="P31" s="81"/>
      <c r="Q31" s="82"/>
    </row>
    <row r="32">
      <c r="A32" s="92">
        <v>43579.0</v>
      </c>
      <c r="B32" s="92">
        <v>43579.0</v>
      </c>
      <c r="C32" s="35" t="s">
        <v>429</v>
      </c>
      <c r="D32" s="35" t="s">
        <v>187</v>
      </c>
      <c r="E32" s="86" t="str">
        <f>HYPERLINK("https://twitter.com/wikileaks/status/1121121623870984194/photo/1","Link - Twitter")</f>
        <v>Link - Twitter</v>
      </c>
      <c r="F32" s="87"/>
      <c r="G32" s="97"/>
      <c r="H32" s="90" t="s">
        <v>464</v>
      </c>
      <c r="I32" s="80" t="s">
        <v>465</v>
      </c>
      <c r="J32" s="80"/>
      <c r="K32" s="80"/>
      <c r="L32" s="80"/>
      <c r="M32" s="36"/>
      <c r="N32" s="36"/>
      <c r="O32" s="29"/>
      <c r="P32" s="81"/>
      <c r="Q32" s="82"/>
    </row>
    <row r="33">
      <c r="A33" s="92">
        <v>43573.0</v>
      </c>
      <c r="B33" s="92">
        <v>43573.0</v>
      </c>
      <c r="C33" s="35" t="s">
        <v>429</v>
      </c>
      <c r="D33" s="35" t="s">
        <v>187</v>
      </c>
      <c r="E33" s="86" t="str">
        <f>HYPERLINK("https://twitter.com/wikileaks/status/1118930828850016257","LINK - Tweet")</f>
        <v>LINK - Tweet</v>
      </c>
      <c r="F33" s="87"/>
      <c r="G33" s="97"/>
      <c r="H33" s="90" t="s">
        <v>466</v>
      </c>
      <c r="I33" s="80" t="s">
        <v>467</v>
      </c>
      <c r="J33" s="80"/>
      <c r="K33" s="80"/>
      <c r="L33" s="80"/>
      <c r="M33" s="36"/>
      <c r="N33" s="86" t="str">
        <f t="shared" ref="N33:N34" si="1">HYPERLINK("https://file.wikileaks.org/file/Mueller_Report_OCR.pdf","Link to Mueller Report")</f>
        <v>Link to Mueller Report</v>
      </c>
      <c r="O33" s="29"/>
      <c r="P33" s="81"/>
      <c r="Q33" s="82"/>
    </row>
    <row r="34">
      <c r="A34" s="92">
        <v>43573.0</v>
      </c>
      <c r="B34" s="92">
        <v>43573.0</v>
      </c>
      <c r="C34" s="35" t="s">
        <v>429</v>
      </c>
      <c r="D34" s="35" t="s">
        <v>187</v>
      </c>
      <c r="E34" s="86" t="str">
        <f>HYPERLINK("https://twitter.com/wikileaks/status/1119005867435810822","LINK - Tweet")</f>
        <v>LINK - Tweet</v>
      </c>
      <c r="F34" s="87"/>
      <c r="G34" s="97"/>
      <c r="H34" s="90" t="s">
        <v>468</v>
      </c>
      <c r="I34" s="80" t="s">
        <v>467</v>
      </c>
      <c r="J34" s="80"/>
      <c r="K34" s="80"/>
      <c r="L34" s="80"/>
      <c r="M34" s="36"/>
      <c r="N34" s="86" t="str">
        <f t="shared" si="1"/>
        <v>Link to Mueller Report</v>
      </c>
      <c r="O34" s="29"/>
      <c r="P34" s="81"/>
      <c r="Q34" s="82"/>
    </row>
    <row r="35">
      <c r="A35" s="92">
        <v>43573.0</v>
      </c>
      <c r="B35" s="92">
        <v>43571.0</v>
      </c>
      <c r="C35" s="35" t="s">
        <v>185</v>
      </c>
      <c r="D35" s="35" t="s">
        <v>469</v>
      </c>
      <c r="E35" s="86" t="str">
        <f>HYPERLINK("https://youtu.be/rS3sUsmM07c?t=154","LINK - YT")</f>
        <v>LINK - YT</v>
      </c>
      <c r="F35" s="87">
        <v>0.17708333333333334</v>
      </c>
      <c r="G35" s="97"/>
      <c r="H35" s="90" t="s">
        <v>470</v>
      </c>
      <c r="I35" s="80"/>
      <c r="J35" s="80"/>
      <c r="K35" s="80"/>
      <c r="L35" s="80"/>
      <c r="M35" s="36"/>
      <c r="N35" s="86" t="str">
        <f>HYPERLINK("https://www.facebook.com/guengl/videos/2573711026036861?sfns=copylinkios","Facebook record of Event")</f>
        <v>Facebook record of Event</v>
      </c>
      <c r="O35" s="29"/>
      <c r="P35" s="81"/>
      <c r="Q35" s="82"/>
    </row>
    <row r="36">
      <c r="A36" s="92">
        <v>43568.0</v>
      </c>
      <c r="B36" s="92">
        <v>43568.0</v>
      </c>
      <c r="C36" s="35" t="s">
        <v>429</v>
      </c>
      <c r="D36" s="35" t="s">
        <v>187</v>
      </c>
      <c r="E36" s="86" t="str">
        <f>HYPERLINK("https://twitter.com/khrafnsson/status/1117041668593803265","LINK - Twitter")</f>
        <v>LINK - Twitter</v>
      </c>
      <c r="F36" s="87"/>
      <c r="G36" s="97"/>
      <c r="H36" s="90" t="s">
        <v>471</v>
      </c>
      <c r="I36" s="80" t="s">
        <v>472</v>
      </c>
      <c r="J36" s="80"/>
      <c r="K36" s="80"/>
      <c r="L36" s="80"/>
      <c r="M36" s="36"/>
      <c r="N36" s="36"/>
      <c r="O36" s="29"/>
      <c r="P36" s="81"/>
      <c r="Q36" s="82"/>
    </row>
    <row r="37">
      <c r="A37" s="92">
        <v>43568.0</v>
      </c>
      <c r="B37" s="92">
        <v>43568.0</v>
      </c>
      <c r="C37" s="35" t="s">
        <v>429</v>
      </c>
      <c r="D37" s="35" t="s">
        <v>187</v>
      </c>
      <c r="E37" s="86" t="str">
        <f>HYPERLINK("https://twitter.com/wikileaks/status/1117144943666106368?s=21","LINK - Twitter")</f>
        <v>LINK - Twitter</v>
      </c>
      <c r="F37" s="87"/>
      <c r="G37" s="97"/>
      <c r="H37" s="90" t="s">
        <v>473</v>
      </c>
      <c r="I37" s="80" t="s">
        <v>474</v>
      </c>
      <c r="J37" s="80"/>
      <c r="K37" s="80"/>
      <c r="L37" s="80" t="s">
        <v>475</v>
      </c>
      <c r="M37" s="36"/>
      <c r="N37" s="36"/>
      <c r="O37" s="29"/>
      <c r="P37" s="81"/>
      <c r="Q37" s="82"/>
    </row>
    <row r="38">
      <c r="A38" s="92">
        <v>43566.0</v>
      </c>
      <c r="B38" s="92">
        <v>43566.0</v>
      </c>
      <c r="C38" s="35" t="s">
        <v>429</v>
      </c>
      <c r="D38" s="35" t="s">
        <v>187</v>
      </c>
      <c r="E38" s="86" t="str">
        <f>HYPERLINK("https://twitter.com/barnabynerberka/status/1116275982518898688","LINK - Twitter")</f>
        <v>LINK - Twitter</v>
      </c>
      <c r="F38" s="87"/>
      <c r="G38" s="97"/>
      <c r="H38" s="90" t="s">
        <v>476</v>
      </c>
      <c r="I38" s="80"/>
      <c r="J38" s="80"/>
      <c r="K38" s="80"/>
      <c r="L38" s="80" t="s">
        <v>477</v>
      </c>
      <c r="M38" s="36"/>
      <c r="N38" s="36"/>
      <c r="O38" s="29"/>
      <c r="P38" s="81"/>
      <c r="Q38" s="82"/>
    </row>
    <row r="39">
      <c r="A39" s="92">
        <v>43566.0</v>
      </c>
      <c r="B39" s="92">
        <v>43566.0</v>
      </c>
      <c r="C39" s="35" t="s">
        <v>185</v>
      </c>
      <c r="D39" s="35" t="s">
        <v>478</v>
      </c>
      <c r="E39" s="86" t="str">
        <f>HYPERLINK("https://ruptly.tv/en/videos/20190411-025","LINK - Ruptly")</f>
        <v>LINK - Ruptly</v>
      </c>
      <c r="F39" s="87">
        <v>0.0375</v>
      </c>
      <c r="G39" s="97"/>
      <c r="H39" s="90" t="s">
        <v>479</v>
      </c>
      <c r="I39" s="80"/>
      <c r="J39" s="80"/>
      <c r="K39" s="80"/>
      <c r="L39" s="80" t="s">
        <v>480</v>
      </c>
      <c r="M39" s="36"/>
      <c r="N39" s="36"/>
      <c r="O39" s="29"/>
      <c r="P39" s="81"/>
      <c r="Q39" s="82"/>
    </row>
    <row r="40">
      <c r="A40" s="98">
        <v>43566.0</v>
      </c>
      <c r="B40" s="98">
        <v>43566.0</v>
      </c>
      <c r="C40" s="99" t="s">
        <v>481</v>
      </c>
      <c r="D40" s="100"/>
      <c r="E40" s="101"/>
      <c r="F40" s="102"/>
      <c r="G40" s="103"/>
      <c r="H40" s="104" t="s">
        <v>482</v>
      </c>
      <c r="I40" s="105"/>
      <c r="J40" s="105"/>
      <c r="K40" s="105"/>
      <c r="L40" s="105"/>
      <c r="M40" s="101"/>
      <c r="N40" s="101"/>
      <c r="O40" s="106"/>
      <c r="P40" s="81"/>
      <c r="Q40" s="82"/>
    </row>
    <row r="41">
      <c r="A41" s="92">
        <v>43565.0</v>
      </c>
      <c r="B41" s="92">
        <v>43565.0</v>
      </c>
      <c r="C41" s="35" t="s">
        <v>185</v>
      </c>
      <c r="D41" s="35" t="s">
        <v>478</v>
      </c>
      <c r="E41" s="86" t="str">
        <f>HYPERLINK("https://youtu.be/QFq38d3Q9qY","LINK - YT")</f>
        <v>LINK - YT</v>
      </c>
      <c r="F41" s="64"/>
      <c r="G41" s="97"/>
      <c r="H41" s="90" t="s">
        <v>483</v>
      </c>
      <c r="I41" s="80" t="s">
        <v>484</v>
      </c>
      <c r="J41" s="80"/>
      <c r="K41" s="80"/>
      <c r="L41" s="80"/>
      <c r="M41" s="36"/>
      <c r="N41" s="36"/>
      <c r="O41" s="29"/>
      <c r="P41" s="81"/>
      <c r="Q41" s="82"/>
    </row>
    <row r="42">
      <c r="A42" s="92">
        <v>43565.0</v>
      </c>
      <c r="B42" s="92">
        <v>43565.0</v>
      </c>
      <c r="C42" s="35" t="s">
        <v>429</v>
      </c>
      <c r="D42" s="35" t="s">
        <v>187</v>
      </c>
      <c r="E42" s="86" t="str">
        <f>HYPERLINK("https://twitter.com/wikileaks/status/1116043494123024388","LINK - Twitter")</f>
        <v>LINK - Twitter</v>
      </c>
      <c r="F42" s="64"/>
      <c r="G42" s="97"/>
      <c r="H42" s="90" t="s">
        <v>485</v>
      </c>
      <c r="I42" s="80" t="s">
        <v>486</v>
      </c>
      <c r="J42" s="80"/>
      <c r="K42" s="80"/>
      <c r="L42" s="80"/>
      <c r="M42" s="86" t="str">
        <f>HYPERLINK("https://drive.google.com/file/d/1u9Y1pMVzxtESnMrLYz5ffFo0ZI2wj-gF/view?usp=sharing","Letter 1 (4 Feb 2019 re shining lamp at camera)")</f>
        <v>Letter 1 (4 Feb 2019 re shining lamp at camera)</v>
      </c>
      <c r="N42" s="86" t="str">
        <f>HYPERLINK("https://drive.google.com/file/d/1RygAbmGKTgM-_fiphn7TQcvPybEORagA/view?usp=sharing","Letter 2 (20 Feb 2019 re playing radio)")</f>
        <v>Letter 2 (20 Feb 2019 re playing radio)</v>
      </c>
      <c r="O42" s="29"/>
      <c r="P42" s="81"/>
      <c r="Q42" s="82"/>
    </row>
    <row r="43">
      <c r="A43" s="92">
        <v>43565.0</v>
      </c>
      <c r="B43" s="92">
        <v>43565.0</v>
      </c>
      <c r="C43" s="35" t="s">
        <v>429</v>
      </c>
      <c r="D43" s="35" t="s">
        <v>187</v>
      </c>
      <c r="E43" s="86" t="str">
        <f>HYPERLINK("https://twitter.com/wikileaks/status/1115976992090992643","LINK - Twitter")</f>
        <v>LINK - Twitter</v>
      </c>
      <c r="F43" s="64"/>
      <c r="G43" s="97"/>
      <c r="H43" s="90" t="s">
        <v>487</v>
      </c>
      <c r="I43" s="80"/>
      <c r="J43" s="80"/>
      <c r="K43" s="80"/>
      <c r="L43" s="80" t="s">
        <v>488</v>
      </c>
      <c r="M43" s="30"/>
      <c r="N43" s="36"/>
      <c r="O43" s="29"/>
      <c r="P43" s="81"/>
      <c r="Q43" s="82"/>
    </row>
    <row r="44">
      <c r="A44" s="92">
        <v>43565.0</v>
      </c>
      <c r="B44" s="92">
        <v>43565.0</v>
      </c>
      <c r="C44" s="35" t="s">
        <v>429</v>
      </c>
      <c r="D44" s="35" t="s">
        <v>187</v>
      </c>
      <c r="E44" s="86" t="str">
        <f>HYPERLINK("https://twitter.com/wikileaks/status/1116010027377098757","LINK - Twitter")</f>
        <v>LINK - Twitter</v>
      </c>
      <c r="F44" s="64"/>
      <c r="G44" s="97"/>
      <c r="H44" s="90" t="s">
        <v>489</v>
      </c>
      <c r="I44" s="80" t="s">
        <v>490</v>
      </c>
      <c r="J44" s="80"/>
      <c r="K44" s="80"/>
      <c r="L44" s="80" t="s">
        <v>491</v>
      </c>
      <c r="M44" s="30"/>
      <c r="N44" s="36"/>
      <c r="O44" s="29"/>
      <c r="P44" s="81"/>
      <c r="Q44" s="82"/>
    </row>
    <row r="45">
      <c r="A45" s="92">
        <v>43564.0</v>
      </c>
      <c r="B45" s="92">
        <v>43564.0</v>
      </c>
      <c r="C45" s="35" t="s">
        <v>429</v>
      </c>
      <c r="D45" s="35" t="s">
        <v>187</v>
      </c>
      <c r="E45" s="86" t="str">
        <f>HYPERLINK("https://twitter.com/wikileaks/status/1115685431591546885","LINK - Twitter")</f>
        <v>LINK - Twitter</v>
      </c>
      <c r="F45" s="64"/>
      <c r="G45" s="97"/>
      <c r="H45" s="90" t="s">
        <v>492</v>
      </c>
      <c r="I45" s="80"/>
      <c r="J45" s="80"/>
      <c r="K45" s="80"/>
      <c r="L45" s="80"/>
      <c r="M45" s="30"/>
      <c r="N45" s="36"/>
      <c r="O45" s="29"/>
      <c r="P45" s="81"/>
      <c r="Q45" s="82"/>
    </row>
    <row r="46">
      <c r="A46" s="92">
        <v>43564.0</v>
      </c>
      <c r="B46" s="92">
        <v>43564.0</v>
      </c>
      <c r="C46" s="35" t="s">
        <v>429</v>
      </c>
      <c r="D46" s="35" t="s">
        <v>187</v>
      </c>
      <c r="E46" s="86" t="str">
        <f>HYPERLINK("https://twitter.com/khrafnsson/status/1115709428437745670?s=21","LINK - Twitter")</f>
        <v>LINK - Twitter</v>
      </c>
      <c r="F46" s="64"/>
      <c r="G46" s="97"/>
      <c r="H46" s="90" t="s">
        <v>493</v>
      </c>
      <c r="I46" s="80"/>
      <c r="J46" s="80"/>
      <c r="K46" s="80"/>
      <c r="L46" s="80"/>
      <c r="M46" s="30"/>
      <c r="N46" s="86" t="str">
        <f>HYPERLINK("https://www.theguardian.com/commentisfree/2019/apr/09/the-guardian-view-on-julian-assange-it-would-be-wrong-to-extradite-him","Guardian Editorial")</f>
        <v>Guardian Editorial</v>
      </c>
      <c r="O46" s="29"/>
      <c r="P46" s="81"/>
      <c r="Q46" s="82"/>
    </row>
    <row r="47">
      <c r="A47" s="92">
        <v>43563.0</v>
      </c>
      <c r="B47" s="92">
        <v>43563.0</v>
      </c>
      <c r="C47" s="35" t="s">
        <v>429</v>
      </c>
      <c r="D47" s="35" t="s">
        <v>187</v>
      </c>
      <c r="E47" s="86" t="str">
        <f>HYPERLINK("https://twitter.com/DefendAssange/status/1115729401952468992","LINK - Twitter")</f>
        <v>LINK - Twitter</v>
      </c>
      <c r="F47" s="64"/>
      <c r="G47" s="97"/>
      <c r="H47" s="90" t="s">
        <v>494</v>
      </c>
      <c r="I47" s="80"/>
      <c r="J47" s="80"/>
      <c r="K47" s="80"/>
      <c r="L47" s="80"/>
      <c r="M47" s="30"/>
      <c r="N47" s="86" t="str">
        <f>HYPERLINK("https://www.foxnews.com/world/ecuador-reminds-assange-embassy-stay-cant-be-permanent","Fox News article")</f>
        <v>Fox News article</v>
      </c>
      <c r="O47" s="29"/>
      <c r="P47" s="81"/>
      <c r="Q47" s="82"/>
    </row>
    <row r="48">
      <c r="A48" s="92">
        <v>43563.0</v>
      </c>
      <c r="B48" s="92">
        <v>43563.0</v>
      </c>
      <c r="C48" s="35" t="s">
        <v>429</v>
      </c>
      <c r="D48" s="35" t="s">
        <v>187</v>
      </c>
      <c r="E48" s="86" t="str">
        <f>HYPERLINK("https://twitter.com/DefendAssange/status/1115491182413524994","LINK - Twitter")</f>
        <v>LINK - Twitter</v>
      </c>
      <c r="F48" s="64"/>
      <c r="G48" s="97"/>
      <c r="H48" s="90" t="s">
        <v>495</v>
      </c>
      <c r="I48" s="80"/>
      <c r="J48" s="80"/>
      <c r="K48" s="80"/>
      <c r="L48" s="80"/>
      <c r="M48" s="30"/>
      <c r="N48" s="36"/>
      <c r="O48" s="29"/>
      <c r="P48" s="81"/>
      <c r="Q48" s="82"/>
    </row>
    <row r="49">
      <c r="A49" s="92">
        <v>43562.0</v>
      </c>
      <c r="B49" s="92">
        <v>43562.0</v>
      </c>
      <c r="C49" s="35" t="s">
        <v>429</v>
      </c>
      <c r="D49" s="35" t="s">
        <v>187</v>
      </c>
      <c r="E49" s="86" t="str">
        <f>HYPERLINK("https://twitter.com/wikileaks/status/1114951724769456128","LINK - Twitter")</f>
        <v>LINK - Twitter</v>
      </c>
      <c r="F49" s="64"/>
      <c r="G49" s="97"/>
      <c r="H49" s="90" t="s">
        <v>496</v>
      </c>
      <c r="I49" s="80"/>
      <c r="J49" s="80"/>
      <c r="K49" s="80"/>
      <c r="L49" s="80" t="s">
        <v>488</v>
      </c>
      <c r="M49" s="30"/>
      <c r="N49" s="36"/>
      <c r="O49" s="29"/>
      <c r="P49" s="81"/>
      <c r="Q49" s="82"/>
    </row>
    <row r="50">
      <c r="A50" s="92">
        <v>43561.0</v>
      </c>
      <c r="B50" s="92">
        <v>43561.0</v>
      </c>
      <c r="C50" s="35" t="s">
        <v>245</v>
      </c>
      <c r="D50" s="35"/>
      <c r="E50" s="36"/>
      <c r="F50" s="64"/>
      <c r="G50" s="107" t="str">
        <f>HYPERLINK("https://archive.fo/M4Jq0","ARTICLE")</f>
        <v>ARTICLE</v>
      </c>
      <c r="H50" s="90" t="s">
        <v>497</v>
      </c>
      <c r="I50" s="80"/>
      <c r="J50" s="80"/>
      <c r="K50" s="80"/>
      <c r="L50" s="80"/>
      <c r="M50" s="30"/>
      <c r="N50" s="36"/>
      <c r="O50" s="29"/>
      <c r="P50" s="81"/>
      <c r="Q50" s="82"/>
    </row>
    <row r="51">
      <c r="A51" s="92">
        <v>43561.0</v>
      </c>
      <c r="B51" s="92">
        <v>43561.0</v>
      </c>
      <c r="C51" s="35" t="s">
        <v>429</v>
      </c>
      <c r="D51" s="35" t="s">
        <v>187</v>
      </c>
      <c r="E51" s="86" t="str">
        <f>HYPERLINK("https://twitter.com/wikileaks/status/1114608139863617536","LINK - Twitter")</f>
        <v>LINK - Twitter</v>
      </c>
      <c r="F51" s="64"/>
      <c r="G51" s="97"/>
      <c r="H51" s="90" t="s">
        <v>498</v>
      </c>
      <c r="I51" s="80"/>
      <c r="J51" s="80"/>
      <c r="K51" s="80"/>
      <c r="L51" s="80"/>
      <c r="M51" s="30"/>
      <c r="N51" s="36"/>
      <c r="O51" s="29"/>
      <c r="P51" s="81"/>
      <c r="Q51" s="82"/>
    </row>
    <row r="52">
      <c r="A52" s="92">
        <v>43560.0</v>
      </c>
      <c r="B52" s="92">
        <v>43560.0</v>
      </c>
      <c r="C52" s="35" t="s">
        <v>429</v>
      </c>
      <c r="D52" s="35" t="s">
        <v>187</v>
      </c>
      <c r="E52" s="86" t="str">
        <f>HYPERLINK("https://twitter.com/wikileaks/status/1114165391893389313","LINK - Twitter")</f>
        <v>LINK - Twitter</v>
      </c>
      <c r="F52" s="64"/>
      <c r="G52" s="97"/>
      <c r="H52" s="90" t="s">
        <v>499</v>
      </c>
      <c r="I52" s="80"/>
      <c r="J52" s="80"/>
      <c r="K52" s="80"/>
      <c r="L52" s="80"/>
      <c r="M52" s="30"/>
      <c r="N52" s="36"/>
      <c r="O52" s="29"/>
      <c r="P52" s="81"/>
      <c r="Q52" s="82"/>
    </row>
    <row r="53">
      <c r="A53" s="92">
        <v>43560.0</v>
      </c>
      <c r="B53" s="92">
        <v>43560.0</v>
      </c>
      <c r="C53" s="35" t="s">
        <v>429</v>
      </c>
      <c r="D53" s="35" t="s">
        <v>187</v>
      </c>
      <c r="E53" s="86" t="str">
        <f>HYPERLINK("https://twitter.com/wikileaks/status/1114148491780067328","LINK - Tweet")</f>
        <v>LINK - Tweet</v>
      </c>
      <c r="F53" s="64"/>
      <c r="G53" s="97"/>
      <c r="H53" s="90" t="s">
        <v>500</v>
      </c>
      <c r="I53" s="80"/>
      <c r="J53" s="80"/>
      <c r="K53" s="80"/>
      <c r="L53" s="80"/>
      <c r="M53" s="30"/>
      <c r="N53" s="36"/>
      <c r="O53" s="29"/>
      <c r="P53" s="81"/>
      <c r="Q53" s="82"/>
    </row>
    <row r="54">
      <c r="A54" s="92">
        <v>43559.0</v>
      </c>
      <c r="B54" s="92">
        <v>43559.0</v>
      </c>
      <c r="C54" s="35" t="s">
        <v>429</v>
      </c>
      <c r="D54" s="35" t="s">
        <v>187</v>
      </c>
      <c r="E54" s="86" t="str">
        <f>HYPERLINK("https://twitter.com/wikileaks/status/1113919962995884033","LINK - Twitter")</f>
        <v>LINK - Twitter</v>
      </c>
      <c r="F54" s="64"/>
      <c r="G54" s="97"/>
      <c r="H54" s="90" t="s">
        <v>501</v>
      </c>
      <c r="I54" s="80"/>
      <c r="J54" s="80"/>
      <c r="K54" s="80"/>
      <c r="L54" s="80"/>
      <c r="M54" s="30"/>
      <c r="N54" s="36"/>
      <c r="O54" s="29"/>
      <c r="P54" s="81"/>
      <c r="Q54" s="82"/>
    </row>
    <row r="55">
      <c r="A55" s="92">
        <v>43558.0</v>
      </c>
      <c r="B55" s="92">
        <v>43558.0</v>
      </c>
      <c r="C55" s="35" t="s">
        <v>245</v>
      </c>
      <c r="D55" s="35"/>
      <c r="E55" s="36"/>
      <c r="F55" s="64"/>
      <c r="G55" s="107" t="str">
        <f>HYPERLINK("https://defend.wikileaks.org/2019/04/03/ecuador-twists-embarrassing-ina-papers-into-pretext-to-oust-assange/","Website")</f>
        <v>Website</v>
      </c>
      <c r="H55" s="90" t="s">
        <v>502</v>
      </c>
      <c r="I55" s="80"/>
      <c r="J55" s="80"/>
      <c r="K55" s="80"/>
      <c r="L55" s="80"/>
      <c r="M55" s="30"/>
      <c r="N55" s="36"/>
      <c r="O55" s="29"/>
      <c r="P55" s="81"/>
      <c r="Q55" s="82"/>
    </row>
    <row r="56">
      <c r="A56" s="92">
        <v>43557.0</v>
      </c>
      <c r="B56" s="92">
        <v>43557.0</v>
      </c>
      <c r="C56" s="35" t="s">
        <v>429</v>
      </c>
      <c r="D56" s="35" t="s">
        <v>187</v>
      </c>
      <c r="E56" s="86" t="str">
        <f>HYPERLINK("https://twitter.com/wikileaks/status/1113164633618165760","LINK - Twitter")</f>
        <v>LINK - Twitter</v>
      </c>
      <c r="F56" s="64"/>
      <c r="G56" s="97"/>
      <c r="H56" s="90" t="s">
        <v>503</v>
      </c>
      <c r="I56" s="80"/>
      <c r="J56" s="80"/>
      <c r="K56" s="80"/>
      <c r="L56" s="80"/>
      <c r="M56" s="30"/>
      <c r="N56" s="36"/>
      <c r="O56" s="29"/>
      <c r="P56" s="81"/>
      <c r="Q56" s="82"/>
    </row>
    <row r="57">
      <c r="A57" s="92">
        <v>43557.0</v>
      </c>
      <c r="B57" s="92">
        <v>43557.0</v>
      </c>
      <c r="C57" s="35" t="s">
        <v>429</v>
      </c>
      <c r="D57" s="35" t="s">
        <v>187</v>
      </c>
      <c r="E57" s="86" t="str">
        <f>HYPERLINK("https://twitter.com/wikileaks/status/1113132398454210560","LINK - Twitter")</f>
        <v>LINK - Twitter</v>
      </c>
      <c r="F57" s="64"/>
      <c r="G57" s="97"/>
      <c r="H57" s="90" t="s">
        <v>504</v>
      </c>
      <c r="I57" s="80"/>
      <c r="J57" s="80"/>
      <c r="K57" s="80"/>
      <c r="L57" s="80"/>
      <c r="M57" s="30"/>
      <c r="N57" s="36"/>
      <c r="O57" s="29"/>
      <c r="P57" s="81"/>
      <c r="Q57" s="82"/>
    </row>
    <row r="58">
      <c r="A58" s="92">
        <v>43557.0</v>
      </c>
      <c r="B58" s="92">
        <v>43557.0</v>
      </c>
      <c r="C58" s="35" t="s">
        <v>429</v>
      </c>
      <c r="D58" s="35" t="s">
        <v>187</v>
      </c>
      <c r="E58" s="86" t="str">
        <f t="shared" ref="E58:E59" si="2">HYPERLINK("https://twitter.com/DefendAssange/status/1113047585948921856","LINK - Twitter")</f>
        <v>LINK - Twitter</v>
      </c>
      <c r="F58" s="64"/>
      <c r="G58" s="97"/>
      <c r="H58" s="90" t="s">
        <v>505</v>
      </c>
      <c r="I58" s="80"/>
      <c r="J58" s="80"/>
      <c r="K58" s="80"/>
      <c r="L58" s="80"/>
      <c r="M58" s="30"/>
      <c r="N58" s="36"/>
      <c r="O58" s="29"/>
      <c r="P58" s="81"/>
      <c r="Q58" s="82"/>
    </row>
    <row r="59">
      <c r="A59" s="92">
        <v>43557.0</v>
      </c>
      <c r="B59" s="92">
        <v>43557.0</v>
      </c>
      <c r="C59" s="35" t="s">
        <v>429</v>
      </c>
      <c r="D59" s="35" t="s">
        <v>187</v>
      </c>
      <c r="E59" s="86" t="str">
        <f t="shared" si="2"/>
        <v>LINK - Twitter</v>
      </c>
      <c r="F59" s="64"/>
      <c r="G59" s="97"/>
      <c r="H59" s="90" t="s">
        <v>505</v>
      </c>
      <c r="I59" s="80"/>
      <c r="J59" s="80"/>
      <c r="K59" s="80"/>
      <c r="L59" s="80"/>
      <c r="M59" s="30"/>
      <c r="N59" s="36"/>
      <c r="O59" s="29"/>
      <c r="P59" s="81"/>
      <c r="Q59" s="82"/>
    </row>
    <row r="60">
      <c r="A60" s="92">
        <v>43551.0</v>
      </c>
      <c r="B60" s="92">
        <v>43551.0</v>
      </c>
      <c r="C60" s="35" t="s">
        <v>185</v>
      </c>
      <c r="D60" s="35" t="s">
        <v>469</v>
      </c>
      <c r="E60" s="86" t="str">
        <f>HYPERLINK("https://youtu.be/aMqPVDiNpGc","LINK - YT")</f>
        <v>LINK - YT</v>
      </c>
      <c r="F60" s="64"/>
      <c r="G60" s="97"/>
      <c r="H60" s="90" t="s">
        <v>506</v>
      </c>
      <c r="I60" s="80"/>
      <c r="J60" s="80"/>
      <c r="K60" s="80"/>
      <c r="L60" s="80"/>
      <c r="M60" s="30"/>
      <c r="N60" s="36"/>
      <c r="O60" s="29"/>
      <c r="P60" s="81"/>
      <c r="Q60" s="82"/>
    </row>
    <row r="61">
      <c r="A61" s="92">
        <v>43550.0</v>
      </c>
      <c r="B61" s="92">
        <v>43550.0</v>
      </c>
      <c r="C61" s="35" t="s">
        <v>245</v>
      </c>
      <c r="D61" s="35" t="s">
        <v>412</v>
      </c>
      <c r="E61" s="36"/>
      <c r="F61" s="64"/>
      <c r="G61" s="107" t="str">
        <f>HYPERLINK("https://defend.wikileaks.org/wp-content/uploads/2019/03/Council-of-Europe-briefing.pdf","PDF")</f>
        <v>PDF</v>
      </c>
      <c r="H61" s="90" t="s">
        <v>507</v>
      </c>
      <c r="I61" s="80"/>
      <c r="J61" s="80"/>
      <c r="K61" s="80"/>
      <c r="L61" s="80"/>
      <c r="M61" s="30"/>
      <c r="N61" s="86" t="str">
        <f>HYPERLINK("https://defend.wikileaks.org/2019/03/26/briefing-for-the-council-of-europe-why-opposing-julian-assanges-extradition-to-the-u-s-matters-for-european-democracy/","Website version")</f>
        <v>Website version</v>
      </c>
      <c r="O61" s="29"/>
      <c r="P61" s="81"/>
      <c r="Q61" s="82"/>
    </row>
    <row r="62">
      <c r="A62" s="92">
        <v>43549.0</v>
      </c>
      <c r="B62" s="92">
        <v>43549.0</v>
      </c>
      <c r="C62" s="35" t="s">
        <v>429</v>
      </c>
      <c r="D62" s="35" t="s">
        <v>187</v>
      </c>
      <c r="E62" s="86" t="str">
        <f>HYPERLINK("https://twitter.com/wikileaks/status/1110283469349896193","LINK - Twitter")</f>
        <v>LINK - Twitter</v>
      </c>
      <c r="F62" s="64"/>
      <c r="G62" s="97"/>
      <c r="H62" s="90" t="s">
        <v>508</v>
      </c>
      <c r="I62" s="80"/>
      <c r="J62" s="80"/>
      <c r="K62" s="80"/>
      <c r="L62" s="80"/>
      <c r="M62" s="30"/>
      <c r="N62" s="86" t="str">
        <f>HYPERLINK("http://www.inapapers.org/galeria.html","INA Papers")</f>
        <v>INA Papers</v>
      </c>
      <c r="O62" s="29"/>
      <c r="P62" s="81"/>
      <c r="Q62" s="82"/>
    </row>
    <row r="63">
      <c r="A63" s="92">
        <v>43549.0</v>
      </c>
      <c r="B63" s="92">
        <v>43549.0</v>
      </c>
      <c r="C63" s="35" t="s">
        <v>245</v>
      </c>
      <c r="D63" s="35" t="s">
        <v>412</v>
      </c>
      <c r="E63" s="36"/>
      <c r="F63" s="64"/>
      <c r="G63" s="107" t="str">
        <f>HYPERLINK("https://defend.wikileaks.org/wp-content/uploads/2019/03/London-Assembly-briefing.-March-2019-Courage.pdf","PDF")</f>
        <v>PDF</v>
      </c>
      <c r="H63" s="90" t="s">
        <v>509</v>
      </c>
      <c r="I63" s="80"/>
      <c r="J63" s="80"/>
      <c r="K63" s="80"/>
      <c r="L63" s="80"/>
      <c r="M63" s="30"/>
      <c r="N63" s="36"/>
      <c r="O63" s="29"/>
      <c r="P63" s="81"/>
      <c r="Q63" s="82"/>
    </row>
    <row r="64">
      <c r="A64" s="92">
        <v>43544.0</v>
      </c>
      <c r="B64" s="92">
        <v>43544.0</v>
      </c>
      <c r="C64" s="35" t="s">
        <v>429</v>
      </c>
      <c r="D64" s="35" t="s">
        <v>187</v>
      </c>
      <c r="E64" s="86" t="str">
        <f>HYPERLINK("https://twitter.com/DefendAssange/status/1108278278513549312","LINK - Twitter")</f>
        <v>LINK - Twitter</v>
      </c>
      <c r="F64" s="64"/>
      <c r="G64" s="97"/>
      <c r="H64" s="90" t="s">
        <v>510</v>
      </c>
      <c r="I64" s="80"/>
      <c r="J64" s="80"/>
      <c r="K64" s="80"/>
      <c r="L64" s="80"/>
      <c r="M64" s="30"/>
      <c r="N64" s="36"/>
      <c r="O64" s="29"/>
      <c r="P64" s="81"/>
      <c r="Q64" s="82"/>
    </row>
    <row r="65">
      <c r="A65" s="92">
        <v>43541.0</v>
      </c>
      <c r="B65" s="92">
        <v>43541.0</v>
      </c>
      <c r="C65" s="35" t="s">
        <v>245</v>
      </c>
      <c r="D65" s="35" t="s">
        <v>412</v>
      </c>
      <c r="E65" s="36"/>
      <c r="F65" s="64"/>
      <c r="G65" s="107" t="str">
        <f>HYPERLINK("https://defend.wikileaks.org/wp-content/uploads/2019/03/The-Assange-Precedent.-March-2019.pdf","PDF")</f>
        <v>PDF</v>
      </c>
      <c r="H65" s="90" t="s">
        <v>511</v>
      </c>
      <c r="I65" s="80"/>
      <c r="J65" s="80"/>
      <c r="K65" s="80"/>
      <c r="L65" s="80"/>
      <c r="M65" s="30"/>
      <c r="N65" s="36"/>
      <c r="O65" s="29"/>
      <c r="P65" s="81"/>
      <c r="Q65" s="82"/>
    </row>
    <row r="66">
      <c r="A66" s="92">
        <v>43539.0</v>
      </c>
      <c r="B66" s="92">
        <v>43539.0</v>
      </c>
      <c r="C66" s="35" t="s">
        <v>429</v>
      </c>
      <c r="D66" s="35" t="s">
        <v>187</v>
      </c>
      <c r="E66" s="86" t="str">
        <f>HYPERLINK("https://twitter.com/wikileaks/status/1106592523450048515","LINK - Twitter")</f>
        <v>LINK - Twitter</v>
      </c>
      <c r="F66" s="64"/>
      <c r="G66" s="97"/>
      <c r="H66" s="90" t="s">
        <v>512</v>
      </c>
      <c r="I66" s="80" t="s">
        <v>513</v>
      </c>
      <c r="J66" s="80"/>
      <c r="K66" s="80"/>
      <c r="L66" s="80"/>
      <c r="M66" s="30"/>
      <c r="N66" s="36"/>
      <c r="O66" s="29"/>
      <c r="P66" s="81"/>
      <c r="Q66" s="82"/>
    </row>
    <row r="67">
      <c r="A67" s="92">
        <v>43538.0</v>
      </c>
      <c r="B67" s="92">
        <v>43538.0</v>
      </c>
      <c r="C67" s="35" t="s">
        <v>429</v>
      </c>
      <c r="D67" s="35" t="s">
        <v>187</v>
      </c>
      <c r="E67" s="86" t="str">
        <f>HYPERLINK("https://twitter.com/wikileaks/status/1106201962192736256","LINK - Twitter")</f>
        <v>LINK - Twitter</v>
      </c>
      <c r="F67" s="64"/>
      <c r="G67" s="97"/>
      <c r="H67" s="90" t="s">
        <v>514</v>
      </c>
      <c r="I67" s="80" t="s">
        <v>515</v>
      </c>
      <c r="J67" s="80"/>
      <c r="K67" s="80"/>
      <c r="L67" s="80"/>
      <c r="M67" s="30"/>
      <c r="N67" s="36"/>
      <c r="O67" s="29"/>
      <c r="P67" s="81"/>
      <c r="Q67" s="82"/>
    </row>
    <row r="68">
      <c r="A68" s="92">
        <v>43536.0</v>
      </c>
      <c r="B68" s="92">
        <v>43536.0</v>
      </c>
      <c r="C68" s="35" t="s">
        <v>429</v>
      </c>
      <c r="D68" s="35" t="s">
        <v>187</v>
      </c>
      <c r="E68" s="86" t="str">
        <f>HYPERLINK("https://twitter.com/khrafnsson/status/1105606209678254082","LINK - Twitter")</f>
        <v>LINK - Twitter</v>
      </c>
      <c r="F68" s="64"/>
      <c r="G68" s="97"/>
      <c r="H68" s="90" t="s">
        <v>516</v>
      </c>
      <c r="I68" s="80" t="s">
        <v>517</v>
      </c>
      <c r="J68" s="80"/>
      <c r="K68" s="80"/>
      <c r="L68" s="80"/>
      <c r="M68" s="30"/>
      <c r="N68" s="36"/>
      <c r="O68" s="29"/>
      <c r="P68" s="81"/>
      <c r="Q68" s="82"/>
    </row>
    <row r="69">
      <c r="A69" s="92">
        <v>43533.0</v>
      </c>
      <c r="B69" s="92">
        <v>43533.0</v>
      </c>
      <c r="C69" s="35" t="s">
        <v>429</v>
      </c>
      <c r="D69" s="35" t="s">
        <v>187</v>
      </c>
      <c r="E69" s="86" t="str">
        <f>HYPERLINK("https://twitter.com/khrafnsson/status/1104341783717269504","LINK - Twitter")</f>
        <v>LINK - Twitter</v>
      </c>
      <c r="F69" s="64"/>
      <c r="G69" s="97"/>
      <c r="H69" s="90" t="s">
        <v>518</v>
      </c>
      <c r="I69" s="80" t="s">
        <v>517</v>
      </c>
      <c r="J69" s="80"/>
      <c r="K69" s="80"/>
      <c r="L69" s="80"/>
      <c r="M69" s="30"/>
      <c r="N69" s="36"/>
      <c r="O69" s="29"/>
      <c r="P69" s="81"/>
      <c r="Q69" s="82"/>
    </row>
    <row r="70">
      <c r="A70" s="92">
        <v>43532.0</v>
      </c>
      <c r="B70" s="92">
        <v>43532.0</v>
      </c>
      <c r="C70" s="35" t="s">
        <v>429</v>
      </c>
      <c r="D70" s="35" t="s">
        <v>187</v>
      </c>
      <c r="E70" s="86" t="str">
        <f>HYPERLINK("https://twitter.com/wikileaks/status/1104243712270442496","LINK - Twitter")</f>
        <v>LINK - Twitter</v>
      </c>
      <c r="F70" s="64"/>
      <c r="G70" s="97"/>
      <c r="H70" s="90" t="s">
        <v>519</v>
      </c>
      <c r="I70" s="80" t="s">
        <v>517</v>
      </c>
      <c r="J70" s="80"/>
      <c r="K70" s="80"/>
      <c r="L70" s="80"/>
      <c r="M70" s="30"/>
      <c r="N70" s="36"/>
      <c r="O70" s="29"/>
      <c r="P70" s="81"/>
      <c r="Q70" s="82"/>
    </row>
    <row r="71">
      <c r="A71" s="108"/>
      <c r="B71" s="92">
        <v>43530.0</v>
      </c>
      <c r="C71" s="35" t="s">
        <v>245</v>
      </c>
      <c r="D71" s="35" t="s">
        <v>413</v>
      </c>
      <c r="E71" s="36"/>
      <c r="F71" s="64"/>
      <c r="G71" s="107" t="str">
        <f>HYPERLINK("https://defend.wikileaks.org/wp-content/uploads/2019/03/False-statements-V4.pdf","PDF")</f>
        <v>PDF</v>
      </c>
      <c r="H71" s="90" t="s">
        <v>520</v>
      </c>
      <c r="I71" s="80" t="s">
        <v>521</v>
      </c>
      <c r="J71" s="80"/>
      <c r="K71" s="80"/>
      <c r="L71" s="80"/>
      <c r="M71" s="30"/>
      <c r="N71" s="36"/>
      <c r="O71" s="29"/>
      <c r="P71" s="81"/>
      <c r="Q71" s="82"/>
    </row>
    <row r="72">
      <c r="A72" s="108"/>
      <c r="B72" s="109">
        <v>43497.0</v>
      </c>
      <c r="C72" s="35" t="s">
        <v>245</v>
      </c>
      <c r="D72" s="35" t="s">
        <v>413</v>
      </c>
      <c r="E72" s="36"/>
      <c r="F72" s="64"/>
      <c r="G72" s="107" t="str">
        <f>HYPERLINK("https://defend.wikileaks.org/wp-content/uploads/2019/03/WL-and-Tories.-article.pdf","PDF")</f>
        <v>PDF</v>
      </c>
      <c r="H72" s="90" t="s">
        <v>522</v>
      </c>
      <c r="I72" s="80" t="s">
        <v>523</v>
      </c>
      <c r="J72" s="80"/>
      <c r="K72" s="80"/>
      <c r="L72" s="80"/>
      <c r="M72" s="30"/>
      <c r="N72" s="86" t="str">
        <f>HYPERLINK("https://defend.wikileaks.org/2019/03/06/wikileaks-cameron/","Website version")</f>
        <v>Website version</v>
      </c>
      <c r="O72" s="29"/>
      <c r="P72" s="81"/>
      <c r="Q72" s="82"/>
    </row>
    <row r="73">
      <c r="A73" s="108"/>
      <c r="B73" s="109">
        <v>43497.0</v>
      </c>
      <c r="C73" s="35" t="s">
        <v>245</v>
      </c>
      <c r="D73" s="35" t="s">
        <v>413</v>
      </c>
      <c r="E73" s="36"/>
      <c r="F73" s="64"/>
      <c r="G73" s="107" t="str">
        <f>HYPERLINK("https://defend.wikileaks.org/wp-content/uploads/2019/03/WL-and-Labour.-article.pdf","PDF")</f>
        <v>PDF</v>
      </c>
      <c r="H73" s="90" t="s">
        <v>524</v>
      </c>
      <c r="I73" s="80" t="s">
        <v>525</v>
      </c>
      <c r="J73" s="80"/>
      <c r="K73" s="80"/>
      <c r="L73" s="80"/>
      <c r="M73" s="30"/>
      <c r="N73" s="86" t="str">
        <f>HYPERLINK("https://defend.wikileaks.org/2019/03/06/wikileaks-blair-brown/","Website version")</f>
        <v>Website version</v>
      </c>
      <c r="O73" s="29"/>
      <c r="P73" s="81"/>
      <c r="Q73" s="82"/>
    </row>
    <row r="74">
      <c r="A74" s="108">
        <v>43512.0</v>
      </c>
      <c r="B74" s="108">
        <v>43512.0</v>
      </c>
      <c r="C74" s="35" t="s">
        <v>429</v>
      </c>
      <c r="D74" s="35" t="s">
        <v>187</v>
      </c>
      <c r="E74" s="86" t="str">
        <f>HYPERLINK("https://twitter.com/wikileaks/status/1096969301922213888","LINK- Twitter")</f>
        <v>LINK- Twitter</v>
      </c>
      <c r="F74" s="64"/>
      <c r="G74" s="110"/>
      <c r="H74" s="90" t="s">
        <v>526</v>
      </c>
      <c r="I74" s="80" t="s">
        <v>527</v>
      </c>
      <c r="J74" s="80"/>
      <c r="K74" s="80"/>
      <c r="L74" s="80"/>
      <c r="M74" s="30"/>
      <c r="N74" s="36"/>
      <c r="O74" s="29"/>
      <c r="P74" s="81"/>
      <c r="Q74" s="82"/>
    </row>
    <row r="75">
      <c r="A75" s="108">
        <v>43496.0</v>
      </c>
      <c r="B75" s="108">
        <v>43496.0</v>
      </c>
      <c r="C75" s="35" t="s">
        <v>429</v>
      </c>
      <c r="D75" s="35" t="s">
        <v>187</v>
      </c>
      <c r="E75" s="86" t="str">
        <f>HYPERLINK("https://twitter.com/wikileaks/status/1091071179878817798","LINK- Twitter")</f>
        <v>LINK- Twitter</v>
      </c>
      <c r="F75" s="64"/>
      <c r="G75" s="110"/>
      <c r="H75" s="90" t="s">
        <v>528</v>
      </c>
      <c r="I75" s="80" t="s">
        <v>529</v>
      </c>
      <c r="J75" s="80"/>
      <c r="K75" s="80"/>
      <c r="L75" s="80"/>
      <c r="M75" s="30"/>
      <c r="N75" s="86" t="str">
        <f>HYPERLINK("https://www.cia.gov/library/readingroom/docs/CIA-RDP90-00845R000100170004-5.pdf ","CIA Doc re Knights of Malta")</f>
        <v>CIA Doc re Knights of Malta</v>
      </c>
      <c r="O75" s="29"/>
      <c r="P75" s="81"/>
      <c r="Q75" s="82"/>
    </row>
    <row r="76">
      <c r="A76" s="108">
        <v>43495.0</v>
      </c>
      <c r="B76" s="108">
        <v>43495.0</v>
      </c>
      <c r="C76" s="35" t="s">
        <v>429</v>
      </c>
      <c r="D76" s="35" t="s">
        <v>187</v>
      </c>
      <c r="E76" s="86" t="str">
        <f>HYPERLINK("https://twitter.com/wikileaks/status/1090593323692294150","LINK- Twitter")</f>
        <v>LINK- Twitter</v>
      </c>
      <c r="F76" s="64"/>
      <c r="G76" s="110"/>
      <c r="H76" s="90" t="s">
        <v>530</v>
      </c>
      <c r="I76" s="80" t="s">
        <v>531</v>
      </c>
      <c r="J76" s="80"/>
      <c r="K76" s="80"/>
      <c r="L76" s="80"/>
      <c r="M76" s="30"/>
      <c r="N76" s="36"/>
      <c r="O76" s="29"/>
      <c r="P76" s="81"/>
      <c r="Q76" s="82"/>
    </row>
    <row r="77">
      <c r="A77" s="111">
        <v>43495.0</v>
      </c>
      <c r="B77" s="111">
        <v>43495.0</v>
      </c>
      <c r="C77" s="35" t="s">
        <v>429</v>
      </c>
      <c r="D77" s="35" t="s">
        <v>187</v>
      </c>
      <c r="E77" s="86" t="str">
        <f>HYPERLINK("https://twitter.com/wikileaks/status/1090595778643533825","LINK - Twitter")</f>
        <v>LINK - Twitter</v>
      </c>
      <c r="F77" s="64"/>
      <c r="G77" s="78"/>
      <c r="H77" s="112" t="s">
        <v>532</v>
      </c>
      <c r="I77" s="80" t="s">
        <v>533</v>
      </c>
      <c r="J77" s="80"/>
      <c r="K77" s="80"/>
      <c r="L77" s="80"/>
      <c r="M77" s="30"/>
      <c r="N77" s="86" t="str">
        <f>HYPERLINK("https://wikileaks.org/popeorders/","Wikileaks link")</f>
        <v>Wikileaks link</v>
      </c>
      <c r="O77" s="29"/>
      <c r="P77" s="81"/>
      <c r="Q77" s="82"/>
    </row>
    <row r="78">
      <c r="A78" s="108">
        <v>43488.0</v>
      </c>
      <c r="B78" s="108">
        <v>43488.0</v>
      </c>
      <c r="C78" s="35" t="s">
        <v>245</v>
      </c>
      <c r="D78" s="35" t="s">
        <v>534</v>
      </c>
      <c r="E78" s="86" t="str">
        <f>HYPERLINK("http://www.twitlonger.com/show/n_1sqpml7","LINK -TwitLonger")</f>
        <v>LINK -TwitLonger</v>
      </c>
      <c r="F78" s="64"/>
      <c r="G78" s="110"/>
      <c r="H78" s="90" t="s">
        <v>535</v>
      </c>
      <c r="I78" s="80"/>
      <c r="J78" s="80"/>
      <c r="K78" s="80"/>
      <c r="L78" s="80"/>
      <c r="M78" s="30"/>
      <c r="N78" s="36"/>
      <c r="O78" s="29"/>
      <c r="P78" s="81"/>
      <c r="Q78" s="82"/>
    </row>
    <row r="79">
      <c r="A79" s="108">
        <v>43482.0</v>
      </c>
      <c r="B79" s="108">
        <v>43482.0</v>
      </c>
      <c r="C79" s="35" t="s">
        <v>429</v>
      </c>
      <c r="D79" s="35" t="s">
        <v>187</v>
      </c>
      <c r="E79" s="86" t="str">
        <f>HYPERLINK("https://twitter.com/DefendAssange/status/1085960048663240706","LINK- Twitter")</f>
        <v>LINK- Twitter</v>
      </c>
      <c r="F79" s="64"/>
      <c r="G79" s="110"/>
      <c r="H79" s="90" t="s">
        <v>536</v>
      </c>
      <c r="I79" s="80" t="s">
        <v>537</v>
      </c>
      <c r="J79" s="80"/>
      <c r="K79" s="80"/>
      <c r="L79" s="80"/>
      <c r="M79" s="30"/>
      <c r="N79" s="36"/>
      <c r="O79" s="29"/>
      <c r="P79" s="81"/>
      <c r="Q79" s="82"/>
    </row>
    <row r="80">
      <c r="A80" s="108">
        <v>43478.0</v>
      </c>
      <c r="B80" s="108">
        <v>43475.0</v>
      </c>
      <c r="C80" s="113" t="s">
        <v>538</v>
      </c>
      <c r="D80" s="35" t="s">
        <v>187</v>
      </c>
      <c r="E80" s="114" t="str">
        <f>HYPERLINK("https://www.gofundme.com/julian-assange-and-wikileaks-public-defence-fund","LINK - GFM")</f>
        <v>LINK - GFM</v>
      </c>
      <c r="F80" s="64"/>
      <c r="G80" s="110"/>
      <c r="H80" s="90" t="s">
        <v>539</v>
      </c>
      <c r="I80" s="115" t="s">
        <v>540</v>
      </c>
      <c r="J80" s="80"/>
      <c r="K80" s="80"/>
      <c r="L80" s="80"/>
      <c r="M80" s="30"/>
      <c r="N80" s="36"/>
      <c r="O80" s="29"/>
      <c r="P80" s="81"/>
      <c r="Q80" s="82"/>
    </row>
    <row r="81">
      <c r="A81" s="108">
        <v>43472.0</v>
      </c>
      <c r="B81" s="108">
        <v>43472.0</v>
      </c>
      <c r="C81" s="35" t="s">
        <v>429</v>
      </c>
      <c r="D81" s="35" t="s">
        <v>187</v>
      </c>
      <c r="E81" s="36" t="s">
        <v>541</v>
      </c>
      <c r="F81" s="64"/>
      <c r="G81" s="78"/>
      <c r="H81" s="90" t="s">
        <v>542</v>
      </c>
      <c r="I81" s="80" t="s">
        <v>543</v>
      </c>
      <c r="J81" s="80"/>
      <c r="K81" s="80"/>
      <c r="L81" s="80"/>
      <c r="M81" s="30"/>
      <c r="N81" s="36"/>
      <c r="O81" s="29"/>
      <c r="P81" s="81"/>
      <c r="Q81" s="82"/>
    </row>
    <row r="82">
      <c r="A82" s="108">
        <v>43469.0</v>
      </c>
      <c r="B82" s="108">
        <v>43469.0</v>
      </c>
      <c r="C82" s="35" t="s">
        <v>429</v>
      </c>
      <c r="D82" s="35" t="s">
        <v>187</v>
      </c>
      <c r="E82" s="86" t="str">
        <f>HYPERLINK("https://twitter.com/khrafnsson/status/1081222970851450880","LINK - Twitter")</f>
        <v>LINK - Twitter</v>
      </c>
      <c r="F82" s="64"/>
      <c r="G82" s="110"/>
      <c r="H82" s="90" t="s">
        <v>544</v>
      </c>
      <c r="I82" s="80" t="s">
        <v>545</v>
      </c>
      <c r="J82" s="80"/>
      <c r="K82" s="80"/>
      <c r="L82" s="80"/>
      <c r="M82" s="30"/>
      <c r="N82" s="36"/>
      <c r="O82" s="29"/>
      <c r="P82" s="81"/>
      <c r="Q82" s="82"/>
    </row>
    <row r="83">
      <c r="A83" s="108">
        <v>43467.0</v>
      </c>
      <c r="B83" s="108">
        <v>43467.0</v>
      </c>
      <c r="C83" s="35" t="s">
        <v>429</v>
      </c>
      <c r="D83" s="35" t="s">
        <v>187</v>
      </c>
      <c r="E83" s="86" t="str">
        <f>HYPERLINK("https://twitter.com/wikileaks/status/1080602062809952257","LINK - Twitter")</f>
        <v>LINK - Twitter</v>
      </c>
      <c r="F83" s="64"/>
      <c r="G83" s="110"/>
      <c r="H83" s="90" t="s">
        <v>546</v>
      </c>
      <c r="I83" s="80" t="s">
        <v>547</v>
      </c>
      <c r="J83" s="80"/>
      <c r="K83" s="80"/>
      <c r="L83" s="80"/>
      <c r="M83" s="30"/>
      <c r="N83" s="86" t="str">
        <f>HYPERLINK("https://t.co/hdEBtAlS7b","Article")</f>
        <v>Article</v>
      </c>
      <c r="O83" s="29"/>
      <c r="P83" s="81"/>
      <c r="Q83" s="82"/>
    </row>
    <row r="84">
      <c r="A84" s="116">
        <v>43459.0</v>
      </c>
      <c r="B84" s="116">
        <v>43459.0</v>
      </c>
      <c r="C84" s="35" t="s">
        <v>429</v>
      </c>
      <c r="D84" s="35" t="s">
        <v>187</v>
      </c>
      <c r="E84" s="86" t="str">
        <f>HYPERLINK("https://twitter.com/wikileaks/status/1077580505455964160","LINK - Twitter")</f>
        <v>LINK - Twitter</v>
      </c>
      <c r="F84" s="64"/>
      <c r="G84" s="110"/>
      <c r="H84" s="90" t="s">
        <v>548</v>
      </c>
      <c r="I84" s="80" t="s">
        <v>549</v>
      </c>
      <c r="J84" s="80"/>
      <c r="K84" s="80"/>
      <c r="L84" s="80"/>
      <c r="M84" s="30"/>
      <c r="N84" s="36"/>
      <c r="O84" s="29"/>
      <c r="P84" s="81"/>
      <c r="Q84" s="82"/>
    </row>
    <row r="85">
      <c r="A85" s="116">
        <v>43458.0</v>
      </c>
      <c r="B85" s="116">
        <v>43458.0</v>
      </c>
      <c r="C85" s="35" t="s">
        <v>429</v>
      </c>
      <c r="D85" s="35" t="s">
        <v>187</v>
      </c>
      <c r="E85" s="86" t="str">
        <f>HYPERLINK("https://twitter.com/wikileaks/status/1077178876282003459","LINK - Twitter")</f>
        <v>LINK - Twitter</v>
      </c>
      <c r="F85" s="64"/>
      <c r="G85" s="78"/>
      <c r="H85" s="90" t="s">
        <v>550</v>
      </c>
      <c r="I85" s="80" t="s">
        <v>551</v>
      </c>
      <c r="J85" s="80"/>
      <c r="K85" s="80"/>
      <c r="L85" s="80"/>
      <c r="M85" s="30"/>
      <c r="N85" s="36"/>
      <c r="O85" s="29"/>
      <c r="P85" s="81"/>
      <c r="Q85" s="82"/>
    </row>
    <row r="86">
      <c r="A86" s="116">
        <v>43455.0</v>
      </c>
      <c r="B86" s="116">
        <v>43455.0</v>
      </c>
      <c r="C86" s="35" t="s">
        <v>429</v>
      </c>
      <c r="D86" s="35" t="s">
        <v>187</v>
      </c>
      <c r="E86" s="86" t="str">
        <f>HYPERLINK("https://twitter.com/wikileaks/status/1076153764833312768","LINK - Twitter")</f>
        <v>LINK - Twitter</v>
      </c>
      <c r="F86" s="64"/>
      <c r="G86" s="78"/>
      <c r="H86" s="90" t="s">
        <v>552</v>
      </c>
      <c r="I86" s="80" t="s">
        <v>553</v>
      </c>
      <c r="J86" s="80"/>
      <c r="K86" s="80"/>
      <c r="L86" s="80"/>
      <c r="M86" s="30"/>
      <c r="N86" s="36"/>
      <c r="O86" s="29"/>
      <c r="P86" s="81"/>
      <c r="Q86" s="82"/>
    </row>
    <row r="87">
      <c r="A87" s="111">
        <v>43455.0</v>
      </c>
      <c r="B87" s="111">
        <v>43455.0</v>
      </c>
      <c r="C87" s="35" t="s">
        <v>429</v>
      </c>
      <c r="D87" s="35" t="s">
        <v>187</v>
      </c>
      <c r="E87" s="86" t="str">
        <f>HYPERLINK("https://twitter.com/wikileaks/status/1076121746292592643","LINK - Twitter")</f>
        <v>LINK - Twitter</v>
      </c>
      <c r="F87" s="64"/>
      <c r="G87" s="78"/>
      <c r="H87" s="112" t="s">
        <v>554</v>
      </c>
      <c r="I87" s="80"/>
      <c r="J87" s="80"/>
      <c r="K87" s="80"/>
      <c r="L87" s="80"/>
      <c r="M87" s="30"/>
      <c r="N87" s="86" t="str">
        <f>HYPERLINK("https://wikileaks.org/US-Embassy-Shopping-List.html","Wikileaks Page")</f>
        <v>Wikileaks Page</v>
      </c>
      <c r="O87" s="29"/>
      <c r="P87" s="81"/>
      <c r="Q87" s="82"/>
    </row>
    <row r="88">
      <c r="A88" s="116">
        <v>43455.0</v>
      </c>
      <c r="B88" s="116">
        <v>43455.0</v>
      </c>
      <c r="C88" s="35" t="s">
        <v>429</v>
      </c>
      <c r="D88" s="35" t="s">
        <v>187</v>
      </c>
      <c r="E88" s="86" t="str">
        <f>HYPERLINK("https://twitter.com/wikileaks/status/1076097591593652225","LINK - Twitter")</f>
        <v>LINK - Twitter</v>
      </c>
      <c r="F88" s="64"/>
      <c r="G88" s="78"/>
      <c r="H88" s="90" t="s">
        <v>555</v>
      </c>
      <c r="I88" s="80" t="s">
        <v>549</v>
      </c>
      <c r="J88" s="80"/>
      <c r="K88" s="80"/>
      <c r="L88" s="80"/>
      <c r="M88" s="30"/>
      <c r="N88" s="86" t="str">
        <f t="shared" ref="N88:N89" si="3">HYPERLINK("https://www.ohchr.org/EN/NewsEvents/Pages/DisplayNews.aspx?NewsID=24042&amp;LangID=E","UNHR Press Release")</f>
        <v>UNHR Press Release</v>
      </c>
      <c r="O88" s="29"/>
      <c r="P88" s="81"/>
      <c r="Q88" s="82"/>
    </row>
    <row r="89">
      <c r="A89" s="116">
        <v>43455.0</v>
      </c>
      <c r="B89" s="116">
        <v>43455.0</v>
      </c>
      <c r="C89" s="35" t="s">
        <v>429</v>
      </c>
      <c r="D89" s="35" t="s">
        <v>187</v>
      </c>
      <c r="E89" s="86" t="str">
        <f>HYPERLINK("https://twitter.com/wikileaks/status/1076098078741090309","LINK - Twitter")</f>
        <v>LINK - Twitter</v>
      </c>
      <c r="F89" s="64"/>
      <c r="G89" s="78"/>
      <c r="H89" s="90" t="s">
        <v>556</v>
      </c>
      <c r="I89" s="80" t="s">
        <v>549</v>
      </c>
      <c r="J89" s="80"/>
      <c r="K89" s="80"/>
      <c r="L89" s="80"/>
      <c r="M89" s="30"/>
      <c r="N89" s="86" t="str">
        <f t="shared" si="3"/>
        <v>UNHR Press Release</v>
      </c>
      <c r="O89" s="29"/>
      <c r="P89" s="81"/>
      <c r="Q89" s="82"/>
    </row>
    <row r="90">
      <c r="A90" s="116">
        <v>43454.0</v>
      </c>
      <c r="B90" s="117">
        <v>43454.0</v>
      </c>
      <c r="C90" s="35" t="s">
        <v>429</v>
      </c>
      <c r="D90" s="35" t="s">
        <v>187</v>
      </c>
      <c r="E90" s="86" t="str">
        <f>HYPERLINK("https://twitter.com/khrafnsson/status/1075855078723067904","LINK - Twitter")</f>
        <v>LINK - Twitter</v>
      </c>
      <c r="F90" s="64"/>
      <c r="G90" s="78"/>
      <c r="H90" s="90" t="s">
        <v>557</v>
      </c>
      <c r="I90" s="80" t="s">
        <v>558</v>
      </c>
      <c r="J90" s="80"/>
      <c r="K90" s="80"/>
      <c r="L90" s="80"/>
      <c r="M90" s="30"/>
      <c r="N90" s="36"/>
      <c r="O90" s="29"/>
      <c r="P90" s="81"/>
      <c r="Q90" s="82"/>
    </row>
    <row r="91">
      <c r="A91" s="117">
        <v>43446.0</v>
      </c>
      <c r="B91" s="117">
        <v>43446.0</v>
      </c>
      <c r="C91" s="35" t="s">
        <v>559</v>
      </c>
      <c r="D91" s="35" t="s">
        <v>387</v>
      </c>
      <c r="E91" s="86" t="str">
        <f>HYPERLINK("http://www.ecuadorinmediato.com/index.php?module=Noticias&amp;func=news_user_view&amp;id=2818847586","LINK - Article")</f>
        <v>LINK - Article</v>
      </c>
      <c r="F91" s="64"/>
      <c r="G91" s="78"/>
      <c r="H91" s="90" t="s">
        <v>560</v>
      </c>
      <c r="I91" s="80"/>
      <c r="J91" s="80"/>
      <c r="K91" s="80"/>
      <c r="L91" s="80"/>
      <c r="M91" s="30"/>
      <c r="N91" s="36"/>
      <c r="O91" s="29"/>
      <c r="P91" s="81"/>
      <c r="Q91" s="82"/>
    </row>
    <row r="92">
      <c r="A92" s="116">
        <v>43440.0</v>
      </c>
      <c r="B92" s="116">
        <v>43440.0</v>
      </c>
      <c r="C92" s="113" t="s">
        <v>538</v>
      </c>
      <c r="D92" s="35" t="s">
        <v>187</v>
      </c>
      <c r="E92" s="118" t="str">
        <f>HYPERLINK("https://twitter.com/wikileaks/status/1070867257125830657?ref_src=twsrc%5Etfw%7Ctwcamp%5Etweetembed%7Ctwterm%5E1070867257125830657&amp;ref_url=https%3A%2F%2Fwww.thegatewaypundit.com%2F2018%2F12%2Fbreaking-wikileaks-launches-gofundme-to-fight-the-dnc%2F","LINK - Twitter")</f>
        <v>LINK - Twitter</v>
      </c>
      <c r="F92" s="64"/>
      <c r="G92" s="114" t="str">
        <f>HYPERLINK("https://www.gofundme.com/help-wikileaks-fight-the-dnc","LINK - GFM")</f>
        <v>LINK - GFM</v>
      </c>
      <c r="H92" s="90" t="s">
        <v>561</v>
      </c>
      <c r="I92" s="115" t="s">
        <v>562</v>
      </c>
      <c r="J92" s="80"/>
      <c r="K92" s="80"/>
      <c r="L92" s="80"/>
      <c r="M92" s="30"/>
      <c r="N92" s="36"/>
      <c r="O92" s="29"/>
      <c r="P92" s="81"/>
      <c r="Q92" s="82"/>
    </row>
    <row r="93">
      <c r="A93" s="116">
        <v>43439.0</v>
      </c>
      <c r="B93" s="116">
        <v>43439.0</v>
      </c>
      <c r="C93" s="35" t="s">
        <v>429</v>
      </c>
      <c r="D93" s="35" t="s">
        <v>187</v>
      </c>
      <c r="E93" s="86" t="str">
        <f>HYPERLINK("https://twitter.com/wikileaks/status/1070404164369465345","LINK - Twitter")</f>
        <v>LINK - Twitter</v>
      </c>
      <c r="F93" s="64"/>
      <c r="G93" s="78"/>
      <c r="H93" s="90" t="s">
        <v>563</v>
      </c>
      <c r="I93" s="80"/>
      <c r="J93" s="80"/>
      <c r="K93" s="80"/>
      <c r="L93" s="80"/>
      <c r="M93" s="30"/>
      <c r="N93" s="36"/>
      <c r="O93" s="29"/>
      <c r="P93" s="81"/>
      <c r="Q93" s="82"/>
    </row>
    <row r="94">
      <c r="A94" s="116">
        <v>43439.0</v>
      </c>
      <c r="B94" s="116">
        <v>43439.0</v>
      </c>
      <c r="C94" s="35" t="s">
        <v>429</v>
      </c>
      <c r="D94" s="35" t="s">
        <v>187</v>
      </c>
      <c r="E94" s="86" t="str">
        <f>HYPERLINK("https://twitter.com/wikileaks/status/1070360842544300032","LINK - Twitter")</f>
        <v>LINK - Twitter</v>
      </c>
      <c r="F94" s="64"/>
      <c r="G94" s="78"/>
      <c r="H94" s="90" t="s">
        <v>564</v>
      </c>
      <c r="I94" s="80"/>
      <c r="J94" s="80"/>
      <c r="K94" s="80"/>
      <c r="L94" s="80"/>
      <c r="M94" s="30"/>
      <c r="N94" s="36"/>
      <c r="O94" s="29"/>
      <c r="P94" s="81"/>
      <c r="Q94" s="82"/>
    </row>
    <row r="95">
      <c r="A95" s="119">
        <v>43435.0</v>
      </c>
      <c r="B95" s="120">
        <v>43434.0</v>
      </c>
      <c r="C95" s="121" t="s">
        <v>481</v>
      </c>
      <c r="D95" s="35"/>
      <c r="E95" s="36"/>
      <c r="F95" s="64"/>
      <c r="G95" s="122" t="str">
        <f>HYPERLINK("https://www.theguardian.com/global/2018/dec/01/george-hw-bush-obituary","Article")</f>
        <v>Article</v>
      </c>
      <c r="H95" s="123" t="s">
        <v>565</v>
      </c>
      <c r="I95" s="80"/>
      <c r="J95" s="80"/>
      <c r="K95" s="80"/>
      <c r="L95" s="80"/>
      <c r="M95" s="30"/>
      <c r="N95" s="36"/>
      <c r="O95" s="29"/>
      <c r="P95" s="81"/>
      <c r="Q95" s="82"/>
    </row>
    <row r="96">
      <c r="A96" s="116">
        <v>43431.0</v>
      </c>
      <c r="B96" s="117">
        <v>43431.0</v>
      </c>
      <c r="C96" s="113" t="s">
        <v>538</v>
      </c>
      <c r="D96" s="35"/>
      <c r="E96" s="36"/>
      <c r="F96" s="64"/>
      <c r="G96" s="114" t="str">
        <f>HYPERLINK("https://www.gofundme.com/wikileaks-suing-the-guardian-over-manafort-story","LINK - GFM")</f>
        <v>LINK - GFM</v>
      </c>
      <c r="H96" s="90" t="s">
        <v>566</v>
      </c>
      <c r="I96" s="115" t="s">
        <v>567</v>
      </c>
      <c r="J96" s="80"/>
      <c r="K96" s="80"/>
      <c r="L96" s="80"/>
      <c r="M96" s="30"/>
      <c r="N96" s="36"/>
      <c r="O96" s="29"/>
      <c r="P96" s="81"/>
      <c r="Q96" s="82"/>
    </row>
    <row r="97">
      <c r="A97" s="116">
        <v>43431.0</v>
      </c>
      <c r="B97" s="116">
        <v>43431.0</v>
      </c>
      <c r="C97" s="35" t="s">
        <v>429</v>
      </c>
      <c r="D97" s="35" t="s">
        <v>187</v>
      </c>
      <c r="E97" s="86" t="str">
        <f>HYPERLINK("https://twitter.com/wikileaks/status/1067468300362371072","LINK - Twitter")</f>
        <v>LINK - Twitter</v>
      </c>
      <c r="F97" s="64"/>
      <c r="G97" s="78"/>
      <c r="H97" s="90" t="s">
        <v>568</v>
      </c>
      <c r="I97" s="80"/>
      <c r="J97" s="80"/>
      <c r="K97" s="80"/>
      <c r="L97" s="80"/>
      <c r="M97" s="30"/>
      <c r="N97" s="36"/>
      <c r="O97" s="29"/>
      <c r="P97" s="81"/>
      <c r="Q97" s="82"/>
    </row>
    <row r="98">
      <c r="A98" s="116">
        <v>43431.0</v>
      </c>
      <c r="B98" s="116">
        <v>43431.0</v>
      </c>
      <c r="C98" s="35" t="s">
        <v>429</v>
      </c>
      <c r="D98" s="35" t="s">
        <v>187</v>
      </c>
      <c r="E98" s="86" t="str">
        <f>HYPERLINK("https://twitter.com/wikileaks/status/1067430101548027906","LINK - Twitter")</f>
        <v>LINK - Twitter</v>
      </c>
      <c r="F98" s="64"/>
      <c r="G98" s="78"/>
      <c r="H98" s="90" t="s">
        <v>569</v>
      </c>
      <c r="I98" s="80"/>
      <c r="J98" s="80"/>
      <c r="K98" s="80"/>
      <c r="L98" s="80"/>
      <c r="M98" s="30"/>
      <c r="N98" s="36"/>
      <c r="O98" s="29"/>
      <c r="P98" s="81"/>
      <c r="Q98" s="82"/>
    </row>
    <row r="99">
      <c r="A99" s="116">
        <v>43428.0</v>
      </c>
      <c r="B99" s="116">
        <v>43428.0</v>
      </c>
      <c r="C99" s="35" t="s">
        <v>429</v>
      </c>
      <c r="D99" s="35" t="s">
        <v>187</v>
      </c>
      <c r="E99" s="86" t="str">
        <f>HYPERLINK("https://twitter.com/wikileaks/status/1066340468458426368","LINK - Twitter")</f>
        <v>LINK - Twitter</v>
      </c>
      <c r="F99" s="64"/>
      <c r="G99" s="78"/>
      <c r="H99" s="90" t="s">
        <v>570</v>
      </c>
      <c r="I99" s="80"/>
      <c r="J99" s="80"/>
      <c r="K99" s="80"/>
      <c r="L99" s="80"/>
      <c r="M99" s="30"/>
      <c r="N99" s="86" t="str">
        <f>HYPERLINK("https://usavwl.couragefound.org/ ","Documents")</f>
        <v>Documents</v>
      </c>
      <c r="O99" s="29"/>
      <c r="P99" s="81"/>
      <c r="Q99" s="82"/>
    </row>
    <row r="100">
      <c r="A100" s="116">
        <v>43428.0</v>
      </c>
      <c r="B100" s="116">
        <v>43428.0</v>
      </c>
      <c r="C100" s="35" t="s">
        <v>429</v>
      </c>
      <c r="D100" s="35" t="s">
        <v>187</v>
      </c>
      <c r="E100" s="86" t="str">
        <f>HYPERLINK("https://twitter.com/wikileaks/status/1066370157826777091","LINK - Twitter")</f>
        <v>LINK - Twitter</v>
      </c>
      <c r="F100" s="64"/>
      <c r="G100" s="78"/>
      <c r="H100" s="90" t="s">
        <v>571</v>
      </c>
      <c r="I100" s="80"/>
      <c r="J100" s="80"/>
      <c r="K100" s="80"/>
      <c r="L100" s="80"/>
      <c r="M100" s="30"/>
      <c r="N100" s="36"/>
      <c r="O100" s="29"/>
      <c r="P100" s="81"/>
      <c r="Q100" s="82"/>
    </row>
    <row r="101">
      <c r="A101" s="116">
        <v>43423.0</v>
      </c>
      <c r="B101" s="116">
        <v>43423.0</v>
      </c>
      <c r="C101" s="35" t="s">
        <v>429</v>
      </c>
      <c r="D101" s="35" t="s">
        <v>187</v>
      </c>
      <c r="E101" s="86" t="str">
        <f>HYPERLINK("https://twitter.com/wikileaks/status/1064449531973111808","LINK - Twitter")</f>
        <v>LINK - Twitter</v>
      </c>
      <c r="F101" s="64"/>
      <c r="G101" s="78"/>
      <c r="H101" s="90" t="s">
        <v>572</v>
      </c>
      <c r="I101" s="80"/>
      <c r="J101" s="80"/>
      <c r="K101" s="80"/>
      <c r="L101" s="80"/>
      <c r="M101" s="30"/>
      <c r="N101" s="36"/>
      <c r="O101" s="29"/>
      <c r="P101" s="81"/>
      <c r="Q101" s="82"/>
    </row>
    <row r="102">
      <c r="A102" s="116">
        <v>43422.0</v>
      </c>
      <c r="B102" s="116">
        <v>43422.0</v>
      </c>
      <c r="C102" s="35" t="s">
        <v>429</v>
      </c>
      <c r="D102" s="35" t="s">
        <v>187</v>
      </c>
      <c r="E102" s="86" t="str">
        <f>HYPERLINK("https://twitter.com/wikileaks/status/1064352698974330881","LINK - Twitter")</f>
        <v>LINK - Twitter</v>
      </c>
      <c r="F102" s="64"/>
      <c r="G102" s="78"/>
      <c r="H102" s="90" t="s">
        <v>573</v>
      </c>
      <c r="I102" s="80"/>
      <c r="J102" s="80"/>
      <c r="K102" s="80"/>
      <c r="L102" s="80"/>
      <c r="M102" s="30"/>
      <c r="N102" s="36"/>
      <c r="O102" s="29"/>
      <c r="P102" s="81"/>
      <c r="Q102" s="82"/>
    </row>
    <row r="103">
      <c r="A103" s="116">
        <v>43421.0</v>
      </c>
      <c r="B103" s="116">
        <v>43421.0</v>
      </c>
      <c r="C103" s="35" t="s">
        <v>429</v>
      </c>
      <c r="D103" s="35" t="s">
        <v>187</v>
      </c>
      <c r="E103" s="86" t="str">
        <f>HYPERLINK("https://twitter.com/wikileaks/status/1063793404751032321","LINK - Twitter")</f>
        <v>LINK - Twitter</v>
      </c>
      <c r="F103" s="64"/>
      <c r="G103" s="78"/>
      <c r="H103" s="90" t="s">
        <v>574</v>
      </c>
      <c r="I103" s="80"/>
      <c r="J103" s="80"/>
      <c r="K103" s="80"/>
      <c r="L103" s="80"/>
      <c r="M103" s="30"/>
      <c r="N103" s="36"/>
      <c r="O103" s="29"/>
      <c r="P103" s="81"/>
      <c r="Q103" s="82"/>
    </row>
    <row r="104">
      <c r="A104" s="116">
        <v>43420.0</v>
      </c>
      <c r="B104" s="116">
        <v>43420.0</v>
      </c>
      <c r="C104" s="35" t="s">
        <v>429</v>
      </c>
      <c r="D104" s="35" t="s">
        <v>187</v>
      </c>
      <c r="E104" s="86" t="str">
        <f>HYPERLINK("https://twitter.com/wikileaks/status/1063433279813111809","LINK - Twitter")</f>
        <v>LINK - Twitter</v>
      </c>
      <c r="F104" s="64"/>
      <c r="G104" s="78"/>
      <c r="H104" s="90" t="s">
        <v>575</v>
      </c>
      <c r="I104" s="80"/>
      <c r="J104" s="80"/>
      <c r="K104" s="80"/>
      <c r="L104" s="80"/>
      <c r="M104" s="30"/>
      <c r="N104" s="36"/>
      <c r="O104" s="29"/>
      <c r="P104" s="81"/>
      <c r="Q104" s="82"/>
    </row>
    <row r="105">
      <c r="A105" s="116">
        <v>43417.0</v>
      </c>
      <c r="B105" s="116">
        <v>43417.0</v>
      </c>
      <c r="C105" s="35" t="s">
        <v>429</v>
      </c>
      <c r="D105" s="35" t="s">
        <v>187</v>
      </c>
      <c r="E105" s="86" t="str">
        <f>HYPERLINK("https://twitter.com/AssangeDefence/status/1062434145291460614","LINK - Twitter")</f>
        <v>LINK - Twitter</v>
      </c>
      <c r="F105" s="64"/>
      <c r="G105" s="78"/>
      <c r="H105" s="90" t="s">
        <v>576</v>
      </c>
      <c r="I105" s="80"/>
      <c r="J105" s="80"/>
      <c r="K105" s="80"/>
      <c r="L105" s="80"/>
      <c r="M105" s="30"/>
      <c r="N105" s="36"/>
      <c r="O105" s="29"/>
      <c r="P105" s="81"/>
      <c r="Q105" s="82"/>
    </row>
    <row r="106">
      <c r="A106" s="116">
        <v>43408.0</v>
      </c>
      <c r="B106" s="116">
        <v>43408.0</v>
      </c>
      <c r="C106" s="35" t="s">
        <v>429</v>
      </c>
      <c r="D106" s="35" t="s">
        <v>187</v>
      </c>
      <c r="E106" s="86" t="str">
        <f>HYPERLINK("https://twitter.com/wikileaks/status/1059192314961244160","LINK - Twitter")</f>
        <v>LINK - Twitter</v>
      </c>
      <c r="F106" s="64"/>
      <c r="G106" s="78"/>
      <c r="H106" s="90" t="s">
        <v>577</v>
      </c>
      <c r="I106" s="80"/>
      <c r="J106" s="80" t="s">
        <v>578</v>
      </c>
      <c r="K106" s="80"/>
      <c r="L106" s="80"/>
      <c r="M106" s="30"/>
      <c r="N106" s="36"/>
      <c r="O106" s="29"/>
      <c r="P106" s="81"/>
      <c r="Q106" s="82"/>
    </row>
    <row r="107">
      <c r="A107" s="116">
        <v>43402.0</v>
      </c>
      <c r="B107" s="116">
        <v>43402.0</v>
      </c>
      <c r="C107" s="35" t="s">
        <v>245</v>
      </c>
      <c r="D107" s="35" t="s">
        <v>579</v>
      </c>
      <c r="E107" s="36"/>
      <c r="F107" s="64"/>
      <c r="G107" s="122" t="str">
        <f>HYPERLINK("https://www.scribd.com/document/405228034/Transcript-JA-Ecuador-Court-Intervention#from_embed","TRANSCRIPT")</f>
        <v>TRANSCRIPT</v>
      </c>
      <c r="H107" s="90" t="s">
        <v>580</v>
      </c>
      <c r="I107" s="80"/>
      <c r="J107" s="80"/>
      <c r="K107" s="80"/>
      <c r="L107" s="80"/>
      <c r="M107" s="30"/>
      <c r="N107" s="124"/>
      <c r="O107" s="29"/>
      <c r="P107" s="81"/>
      <c r="Q107" s="82"/>
    </row>
    <row r="108">
      <c r="A108" s="116">
        <v>43393.0</v>
      </c>
      <c r="B108" s="116">
        <v>43393.0</v>
      </c>
      <c r="C108" s="35" t="s">
        <v>429</v>
      </c>
      <c r="D108" s="35" t="s">
        <v>206</v>
      </c>
      <c r="E108" s="86" t="str">
        <f>HYPERLINK("https://twitter.com/DefendAssange/status/1053586072641458176","LINK - Twitter")</f>
        <v>LINK - Twitter</v>
      </c>
      <c r="F108" s="64"/>
      <c r="G108" s="78"/>
      <c r="H108" s="90" t="s">
        <v>581</v>
      </c>
      <c r="I108" s="80"/>
      <c r="J108" s="80"/>
      <c r="K108" s="80"/>
      <c r="L108" s="80"/>
      <c r="M108" s="30"/>
      <c r="N108" s="125" t="str">
        <f>HYPERLINK("https://youtu.be/8zREiVmRvI0","VIDEO (10 Aug 2018)")</f>
        <v>VIDEO (10 Aug 2018)</v>
      </c>
      <c r="O108" s="29"/>
      <c r="P108" s="81"/>
      <c r="Q108" s="82"/>
    </row>
    <row r="109">
      <c r="A109" s="116">
        <v>43390.0</v>
      </c>
      <c r="B109" s="116">
        <v>43390.0</v>
      </c>
      <c r="C109" s="35" t="s">
        <v>429</v>
      </c>
      <c r="D109" s="35" t="s">
        <v>187</v>
      </c>
      <c r="E109" s="86" t="str">
        <f>HYPERLINK("https://twitter.com/wikileaks/status/1052612018539249664","LINK - Twitter")</f>
        <v>LINK - Twitter</v>
      </c>
      <c r="F109" s="64"/>
      <c r="G109" s="78"/>
      <c r="H109" s="90" t="s">
        <v>582</v>
      </c>
      <c r="I109" s="80"/>
      <c r="J109" s="80"/>
      <c r="K109" s="80"/>
      <c r="L109" s="80" t="s">
        <v>583</v>
      </c>
      <c r="M109" s="30"/>
      <c r="N109" s="36"/>
      <c r="O109" s="29"/>
      <c r="P109" s="81"/>
      <c r="Q109" s="82"/>
    </row>
    <row r="110">
      <c r="A110" s="116">
        <v>43390.0</v>
      </c>
      <c r="B110" s="116">
        <v>43390.0</v>
      </c>
      <c r="C110" s="35" t="s">
        <v>429</v>
      </c>
      <c r="D110" s="35" t="s">
        <v>187</v>
      </c>
      <c r="E110" s="86" t="str">
        <f>HYPERLINK("https://twitter.com/wikileaks/status/1052524007130456065","LINK - Twitter")</f>
        <v>LINK - Twitter</v>
      </c>
      <c r="F110" s="64"/>
      <c r="G110" s="78"/>
      <c r="H110" s="90" t="s">
        <v>584</v>
      </c>
      <c r="I110" s="80"/>
      <c r="J110" s="80"/>
      <c r="K110" s="80"/>
      <c r="L110" s="80"/>
      <c r="M110" s="30"/>
      <c r="N110" s="36"/>
      <c r="O110" s="29"/>
      <c r="P110" s="81"/>
      <c r="Q110" s="82"/>
    </row>
    <row r="111">
      <c r="A111" s="116">
        <v>43390.0</v>
      </c>
      <c r="B111" s="116">
        <v>43390.0</v>
      </c>
      <c r="C111" s="35" t="s">
        <v>429</v>
      </c>
      <c r="D111" s="35" t="s">
        <v>187</v>
      </c>
      <c r="E111" s="86" t="str">
        <f>HYPERLINK("https://twitter.com/wikileaks/status/1052477457968783360","LINK - Twitter")</f>
        <v>LINK - Twitter</v>
      </c>
      <c r="F111" s="64"/>
      <c r="G111" s="78"/>
      <c r="H111" s="126" t="s">
        <v>585</v>
      </c>
      <c r="I111" s="80"/>
      <c r="J111" s="80"/>
      <c r="K111" s="80"/>
      <c r="L111" s="80" t="s">
        <v>586</v>
      </c>
      <c r="M111" s="30"/>
      <c r="N111" s="36"/>
      <c r="O111" s="29"/>
      <c r="P111" s="81"/>
      <c r="Q111" s="82"/>
    </row>
    <row r="112">
      <c r="A112" s="116">
        <v>43370.0</v>
      </c>
      <c r="B112" s="116">
        <v>43370.0</v>
      </c>
      <c r="C112" s="35" t="s">
        <v>429</v>
      </c>
      <c r="D112" s="35" t="s">
        <v>187</v>
      </c>
      <c r="E112" s="86" t="str">
        <f>HYPERLINK("https://twitter.com/wikileaks/status/1045320626058260482","LINK - Twitter")</f>
        <v>LINK - Twitter</v>
      </c>
      <c r="F112" s="64"/>
      <c r="G112" s="78"/>
      <c r="H112" s="90" t="s">
        <v>587</v>
      </c>
      <c r="I112" s="80"/>
      <c r="J112" s="80" t="s">
        <v>588</v>
      </c>
      <c r="K112" s="80"/>
      <c r="L112" s="80"/>
      <c r="M112" s="30"/>
      <c r="N112" s="36"/>
      <c r="O112" s="29"/>
      <c r="P112" s="81"/>
      <c r="Q112" s="82"/>
    </row>
    <row r="113">
      <c r="A113" s="127">
        <v>43370.0</v>
      </c>
      <c r="B113" s="127">
        <v>43370.0</v>
      </c>
      <c r="C113" s="35" t="s">
        <v>429</v>
      </c>
      <c r="D113" s="35" t="s">
        <v>187</v>
      </c>
      <c r="E113" s="86" t="str">
        <f>HYPERLINK("https://twitter.com/DefendAssange/status/1045342261310050305","LINK - Twitter")</f>
        <v>LINK - Twitter</v>
      </c>
      <c r="F113" s="64"/>
      <c r="G113" s="97"/>
      <c r="H113" s="90" t="s">
        <v>589</v>
      </c>
      <c r="I113" s="80"/>
      <c r="J113" s="80"/>
      <c r="K113" s="80"/>
      <c r="L113" s="80"/>
      <c r="M113" s="30"/>
      <c r="N113" s="36"/>
      <c r="O113" s="29"/>
      <c r="P113" s="81"/>
      <c r="Q113" s="82"/>
    </row>
    <row r="114">
      <c r="A114" s="128">
        <v>43369.0</v>
      </c>
      <c r="B114" s="129">
        <v>43369.0</v>
      </c>
      <c r="C114" s="35" t="s">
        <v>429</v>
      </c>
      <c r="D114" s="35" t="s">
        <v>187</v>
      </c>
      <c r="E114" s="86" t="str">
        <f>HYPERLINK("https://twitter.com/wikileaks/status/1045034219939016704?ref_src=twsrc%5Etfw%7Ctwcamp%5Etweetembed%7Ctwterm%5E1045034219939016704&amp;ref_url=https%3A%2F%2Fwww.dailydot.com%2Flayer8%2Fkristinn-hrafnsson-replaces-julian-assange-as-wikileaks-editor-in-chief%2F","LINK - Twitter")</f>
        <v>LINK - Twitter</v>
      </c>
      <c r="F114" s="64"/>
      <c r="G114" s="78"/>
      <c r="H114" s="104" t="s">
        <v>590</v>
      </c>
      <c r="I114" s="80"/>
      <c r="J114" s="80" t="s">
        <v>591</v>
      </c>
      <c r="K114" s="80"/>
      <c r="L114" s="80"/>
      <c r="M114" s="30"/>
      <c r="N114" s="36"/>
      <c r="O114" s="29"/>
      <c r="P114" s="81"/>
      <c r="Q114" s="82"/>
    </row>
    <row r="115">
      <c r="A115" s="116">
        <v>43353.0</v>
      </c>
      <c r="B115" s="116"/>
      <c r="C115" s="35" t="s">
        <v>429</v>
      </c>
      <c r="D115" s="35" t="s">
        <v>187</v>
      </c>
      <c r="E115" s="86" t="str">
        <f>HYPERLINK("https://twitter.com/wikileaks/status/1039051176124272640","LINK - Twitter")</f>
        <v>LINK - Twitter</v>
      </c>
      <c r="F115" s="64"/>
      <c r="G115" s="78"/>
      <c r="H115" s="90" t="s">
        <v>592</v>
      </c>
      <c r="I115" s="80"/>
      <c r="J115" s="80" t="s">
        <v>593</v>
      </c>
      <c r="K115" s="80"/>
      <c r="L115" s="80"/>
      <c r="M115" s="30"/>
      <c r="N115" s="36"/>
      <c r="O115" s="29"/>
      <c r="P115" s="81"/>
      <c r="Q115" s="82"/>
    </row>
    <row r="116">
      <c r="A116" s="116">
        <v>43321.0</v>
      </c>
      <c r="B116" s="116"/>
      <c r="C116" s="35" t="s">
        <v>429</v>
      </c>
      <c r="D116" s="35" t="s">
        <v>187</v>
      </c>
      <c r="E116" s="86" t="str">
        <f>HYPERLINK("https://twitter.com/wikileaks/status/1027482937099464705","LINK - Twitter")</f>
        <v>LINK - Twitter</v>
      </c>
      <c r="F116" s="64"/>
      <c r="G116" s="78"/>
      <c r="H116" s="90" t="s">
        <v>594</v>
      </c>
      <c r="I116" s="80" t="s">
        <v>595</v>
      </c>
      <c r="J116" s="80" t="s">
        <v>596</v>
      </c>
      <c r="K116" s="80"/>
      <c r="L116" s="80"/>
      <c r="M116" s="30"/>
      <c r="N116" s="36"/>
      <c r="O116" s="29"/>
      <c r="P116" s="81"/>
      <c r="Q116" s="82"/>
    </row>
    <row r="117">
      <c r="A117" s="127">
        <v>43309.0</v>
      </c>
      <c r="B117" s="127">
        <v>43309.0</v>
      </c>
      <c r="C117" s="35"/>
      <c r="D117" s="35" t="s">
        <v>187</v>
      </c>
      <c r="E117" s="86" t="str">
        <f>HYPERLINK("https://twitter.com/DefendAssange/status/1023294839469821957","LINK - Twitter")</f>
        <v>LINK - Twitter</v>
      </c>
      <c r="F117" s="64"/>
      <c r="G117" s="97"/>
      <c r="H117" s="90" t="s">
        <v>597</v>
      </c>
      <c r="I117" s="80"/>
      <c r="J117" s="80"/>
      <c r="K117" s="80"/>
      <c r="L117" s="80"/>
      <c r="M117" s="30"/>
      <c r="N117" s="36"/>
      <c r="O117" s="29"/>
      <c r="P117" s="81"/>
      <c r="Q117" s="82"/>
    </row>
    <row r="118">
      <c r="A118" s="116">
        <v>43293.0</v>
      </c>
      <c r="B118" s="116">
        <v>43293.0</v>
      </c>
      <c r="C118" s="35" t="s">
        <v>429</v>
      </c>
      <c r="D118" s="35" t="s">
        <v>187</v>
      </c>
      <c r="E118" s="86" t="str">
        <f>HYPERLINK("https://twitter.com/wikileaks/status/1017591612178882560/photo/1?ref_src=twsrc%5Etfw%7Ctwcamp%5Etweetembed%7Ctwterm%5E1017591612178882560&amp;ref_url=https://www.telesurenglish.net/news/Inter-American-Court-Ruling-Benefits-Julian-Assange-20180713-0003.html","LINK - Twitter")</f>
        <v>LINK - Twitter</v>
      </c>
      <c r="F118" s="64"/>
      <c r="G118" s="78"/>
      <c r="H118" s="90" t="s">
        <v>598</v>
      </c>
      <c r="I118" s="80" t="s">
        <v>599</v>
      </c>
      <c r="J118" s="80"/>
      <c r="K118" s="80"/>
      <c r="L118" s="80"/>
      <c r="M118" s="30"/>
      <c r="N118" s="36"/>
      <c r="O118" s="29"/>
      <c r="P118" s="81"/>
      <c r="Q118" s="82"/>
    </row>
    <row r="119">
      <c r="A119" s="116">
        <v>43243.0</v>
      </c>
      <c r="B119" s="116"/>
      <c r="C119" s="35" t="s">
        <v>429</v>
      </c>
      <c r="D119" s="35" t="s">
        <v>187</v>
      </c>
      <c r="E119" s="86" t="str">
        <f>HYPERLINK("https://twitter.com/wikileaks/status/999297712871936000","LINK - Twitter")</f>
        <v>LINK - Twitter</v>
      </c>
      <c r="F119" s="64"/>
      <c r="G119" s="78"/>
      <c r="H119" s="90" t="s">
        <v>600</v>
      </c>
      <c r="I119" s="80" t="s">
        <v>595</v>
      </c>
      <c r="J119" s="80"/>
      <c r="K119" s="80"/>
      <c r="L119" s="80"/>
      <c r="M119" s="30"/>
      <c r="N119" s="36"/>
      <c r="O119" s="29"/>
      <c r="P119" s="81"/>
      <c r="Q119" s="82"/>
    </row>
    <row r="120">
      <c r="A120" s="116">
        <v>43224.0</v>
      </c>
      <c r="B120" s="116">
        <v>43224.0</v>
      </c>
      <c r="C120" s="35" t="s">
        <v>429</v>
      </c>
      <c r="D120" s="35" t="s">
        <v>187</v>
      </c>
      <c r="E120" s="86" t="str">
        <f>HYPERLINK("https://twitter.com/wikileaks/status/992505160751632384","LINK - Twitter")</f>
        <v>LINK - Twitter</v>
      </c>
      <c r="F120" s="64"/>
      <c r="G120" s="78"/>
      <c r="H120" s="90" t="s">
        <v>601</v>
      </c>
      <c r="I120" s="80"/>
      <c r="J120" s="80" t="s">
        <v>602</v>
      </c>
      <c r="K120" s="80"/>
      <c r="L120" s="80"/>
      <c r="M120" s="30"/>
      <c r="N120" s="36"/>
      <c r="O120" s="29"/>
      <c r="P120" s="81"/>
      <c r="Q120" s="82"/>
    </row>
    <row r="121">
      <c r="A121" s="130">
        <v>43187.0</v>
      </c>
      <c r="B121" s="130">
        <v>43186.0</v>
      </c>
      <c r="C121" s="35" t="s">
        <v>429</v>
      </c>
      <c r="D121" s="35" t="s">
        <v>187</v>
      </c>
      <c r="E121" s="86" t="str">
        <f>HYPERLINK("https://twitter.com/ComunicacionEc/status/979027961411194880/photo/1","LINK - Twitter")</f>
        <v>LINK - Twitter</v>
      </c>
      <c r="F121" s="131"/>
      <c r="G121" s="132"/>
      <c r="H121" s="133" t="s">
        <v>603</v>
      </c>
      <c r="I121" s="80" t="s">
        <v>604</v>
      </c>
      <c r="J121" s="80" t="s">
        <v>605</v>
      </c>
      <c r="K121" s="80" t="s">
        <v>606</v>
      </c>
      <c r="L121" s="80" t="s">
        <v>607</v>
      </c>
      <c r="M121" s="36"/>
      <c r="N121" s="36"/>
      <c r="O121" s="35"/>
      <c r="P121" s="81"/>
      <c r="Q121" s="82"/>
    </row>
    <row r="122">
      <c r="A122" s="134">
        <v>43186.0</v>
      </c>
      <c r="B122" s="134">
        <v>43186.0</v>
      </c>
      <c r="C122" s="135" t="s">
        <v>481</v>
      </c>
      <c r="D122" s="136"/>
      <c r="E122" s="137"/>
      <c r="F122" s="138"/>
      <c r="G122" s="139" t="s">
        <v>608</v>
      </c>
      <c r="H122" s="140" t="s">
        <v>609</v>
      </c>
      <c r="I122" s="141"/>
      <c r="J122" s="141"/>
      <c r="K122" s="141"/>
      <c r="L122" s="141"/>
      <c r="M122" s="142"/>
      <c r="N122" s="137"/>
      <c r="O122" s="143"/>
      <c r="P122" s="144"/>
      <c r="Q122" s="145"/>
      <c r="R122" s="145"/>
      <c r="S122" s="145"/>
      <c r="T122" s="145"/>
      <c r="U122" s="145"/>
      <c r="V122" s="145"/>
      <c r="W122" s="145"/>
      <c r="X122" s="145"/>
      <c r="Y122" s="145"/>
      <c r="Z122" s="145"/>
      <c r="AA122" s="145"/>
      <c r="AB122" s="145"/>
      <c r="AC122" s="145"/>
      <c r="AD122" s="145"/>
      <c r="AE122" s="145"/>
      <c r="AF122" s="145"/>
      <c r="AG122" s="145"/>
    </row>
    <row r="123">
      <c r="A123" s="116">
        <v>43363.0</v>
      </c>
      <c r="B123" s="116">
        <v>43174.0</v>
      </c>
      <c r="C123" s="35" t="s">
        <v>185</v>
      </c>
      <c r="D123" s="35" t="s">
        <v>469</v>
      </c>
      <c r="E123" s="86" t="str">
        <f>HYPERLINK("https://youtu.be/P_m3eO3c5Uw","LINK - Twitter")</f>
        <v>LINK - Twitter</v>
      </c>
      <c r="F123" s="146" t="s">
        <v>610</v>
      </c>
      <c r="G123" s="78"/>
      <c r="H123" s="90" t="s">
        <v>611</v>
      </c>
      <c r="I123" s="80" t="s">
        <v>612</v>
      </c>
      <c r="J123" s="80" t="s">
        <v>613</v>
      </c>
      <c r="K123" s="80" t="s">
        <v>614</v>
      </c>
      <c r="L123" s="80" t="s">
        <v>615</v>
      </c>
      <c r="M123" s="30"/>
      <c r="N123" s="86" t="str">
        <f>HYPERLINK("https://twitter.com/i/moments/1088660878982041601","Twitter Moment")</f>
        <v>Twitter Moment</v>
      </c>
      <c r="O123" s="29"/>
      <c r="P123" s="81"/>
      <c r="Q123" s="82"/>
    </row>
    <row r="124">
      <c r="A124" s="116">
        <v>43159.0</v>
      </c>
      <c r="B124" s="116">
        <v>43159.0</v>
      </c>
      <c r="C124" s="35" t="s">
        <v>185</v>
      </c>
      <c r="D124" s="35" t="s">
        <v>469</v>
      </c>
      <c r="E124" s="86" t="str">
        <f>HYPERLINK("https://youtu.be/5i8w_k0HIqI?t=281","LINK - YT")</f>
        <v>LINK - YT</v>
      </c>
      <c r="F124" s="146" t="s">
        <v>616</v>
      </c>
      <c r="G124" s="78"/>
      <c r="H124" s="90" t="s">
        <v>617</v>
      </c>
      <c r="I124" s="80"/>
      <c r="J124" s="80" t="s">
        <v>613</v>
      </c>
      <c r="K124" s="80" t="s">
        <v>618</v>
      </c>
      <c r="L124" s="80"/>
      <c r="M124" s="30"/>
      <c r="N124" s="86" t="str">
        <f>HYPERLINK("https://elevate.at/fileadmin/2018/Elevate2018_Wikileaks_Statement_final_ENG.pdf","Website Statement")</f>
        <v>Website Statement</v>
      </c>
      <c r="O124" s="29"/>
      <c r="P124" s="81"/>
      <c r="Q124" s="82"/>
    </row>
    <row r="125">
      <c r="A125" s="116">
        <v>43112.0</v>
      </c>
      <c r="B125" s="116">
        <v>43112.0</v>
      </c>
      <c r="C125" s="35" t="s">
        <v>429</v>
      </c>
      <c r="D125" s="35" t="s">
        <v>187</v>
      </c>
      <c r="E125" s="86" t="str">
        <f>HYPERLINK("https://twitter.com/AssangeDefence/status/952036089015033856","LINK- Twitter")</f>
        <v>LINK- Twitter</v>
      </c>
      <c r="F125" s="64"/>
      <c r="G125" s="78"/>
      <c r="H125" s="90" t="s">
        <v>619</v>
      </c>
      <c r="I125" s="80" t="s">
        <v>543</v>
      </c>
      <c r="J125" s="80"/>
      <c r="K125" s="80"/>
      <c r="L125" s="80"/>
      <c r="M125" s="30"/>
      <c r="N125" s="86" t="str">
        <f>HYPERLINK("https://twitter.com/johnfullerroot/status/952066249160380416","Explanatory tweet")</f>
        <v>Explanatory tweet</v>
      </c>
      <c r="O125" s="29"/>
      <c r="P125" s="81"/>
      <c r="Q125" s="82"/>
    </row>
    <row r="126">
      <c r="A126" s="116">
        <v>43110.0</v>
      </c>
      <c r="B126" s="116">
        <v>43110.0</v>
      </c>
      <c r="C126" s="35" t="s">
        <v>429</v>
      </c>
      <c r="D126" s="35" t="s">
        <v>187</v>
      </c>
      <c r="E126" s="86" t="str">
        <f>HYPERLINK("https://twitter.com/DefendAssange/status/951152081670418432","LINK- Twitter")</f>
        <v>LINK- Twitter</v>
      </c>
      <c r="F126" s="64"/>
      <c r="G126" s="78"/>
      <c r="H126" s="90" t="s">
        <v>620</v>
      </c>
      <c r="I126" s="80" t="s">
        <v>621</v>
      </c>
      <c r="J126" s="80" t="s">
        <v>613</v>
      </c>
      <c r="K126" s="80" t="s">
        <v>614</v>
      </c>
      <c r="L126" s="80"/>
      <c r="M126" s="30"/>
      <c r="N126" s="36"/>
      <c r="O126" s="29"/>
      <c r="P126" s="81"/>
      <c r="Q126" s="82"/>
    </row>
    <row r="127">
      <c r="A127" s="108">
        <v>43100.0</v>
      </c>
      <c r="B127" s="108">
        <v>43100.0</v>
      </c>
      <c r="C127" s="35" t="s">
        <v>185</v>
      </c>
      <c r="D127" s="35" t="s">
        <v>469</v>
      </c>
      <c r="E127" s="86" t="str">
        <f>HYPERLINK("https://twitter.com/wikileaks/status/947532038898372611","LINK - Twitter")</f>
        <v>LINK - Twitter</v>
      </c>
      <c r="F127" s="64"/>
      <c r="G127" s="78"/>
      <c r="H127" s="90" t="s">
        <v>622</v>
      </c>
      <c r="I127" s="80" t="s">
        <v>623</v>
      </c>
      <c r="J127" s="80"/>
      <c r="K127" s="79"/>
      <c r="L127" s="80"/>
      <c r="M127" s="30"/>
      <c r="N127" s="36"/>
      <c r="O127" s="29"/>
      <c r="P127" s="81"/>
      <c r="Q127" s="82"/>
    </row>
    <row r="128">
      <c r="A128" s="108">
        <v>43074.0</v>
      </c>
      <c r="B128" s="108">
        <v>43071.0</v>
      </c>
      <c r="C128" s="35" t="s">
        <v>185</v>
      </c>
      <c r="D128" s="35" t="s">
        <v>469</v>
      </c>
      <c r="E128" s="86" t="str">
        <f>HYPERLINK("https://youtu.be/LqEtKyuyngs?t=11m1s","LINK - YT")</f>
        <v>LINK - YT</v>
      </c>
      <c r="F128" s="146" t="s">
        <v>624</v>
      </c>
      <c r="G128" s="78"/>
      <c r="H128" s="90" t="s">
        <v>625</v>
      </c>
      <c r="I128" s="80" t="s">
        <v>626</v>
      </c>
      <c r="J128" s="80" t="s">
        <v>627</v>
      </c>
      <c r="K128" s="79"/>
      <c r="L128" s="80" t="s">
        <v>628</v>
      </c>
      <c r="M128" s="30"/>
      <c r="N128" s="86" t="str">
        <f>HYPERLINK("https://www.holbergprisen.no/en/holberg-debate-2017-propaganda-facts-and-fake-news","LINK - Website")</f>
        <v>LINK - Website</v>
      </c>
      <c r="O128" s="29"/>
      <c r="P128" s="81"/>
      <c r="Q128" s="82"/>
    </row>
    <row r="129">
      <c r="A129" s="83">
        <v>43038.0</v>
      </c>
      <c r="B129" s="108"/>
      <c r="C129" s="35" t="s">
        <v>185</v>
      </c>
      <c r="D129" s="35" t="s">
        <v>469</v>
      </c>
      <c r="E129" s="86" t="str">
        <f>HYPERLINK("https://youtu.be/R1K4WxrL8LY","LINK - YT")</f>
        <v>LINK - YT</v>
      </c>
      <c r="F129" s="131">
        <v>2.448611111111111</v>
      </c>
      <c r="G129" s="78"/>
      <c r="H129" s="80" t="s">
        <v>629</v>
      </c>
      <c r="I129" s="80" t="s">
        <v>630</v>
      </c>
      <c r="J129" s="80" t="s">
        <v>631</v>
      </c>
      <c r="K129" s="80"/>
      <c r="L129" s="80" t="s">
        <v>632</v>
      </c>
      <c r="M129" s="30"/>
      <c r="N129" s="30"/>
      <c r="O129" s="91"/>
      <c r="P129" s="81"/>
      <c r="Q129" s="82"/>
    </row>
    <row r="130">
      <c r="A130" s="83">
        <v>43018.0</v>
      </c>
      <c r="B130" s="108">
        <v>43018.0</v>
      </c>
      <c r="C130" s="35" t="s">
        <v>185</v>
      </c>
      <c r="D130" s="35" t="s">
        <v>633</v>
      </c>
      <c r="E130" s="86" t="str">
        <f>HYPERLINK("https://youtu.be/ny0HHSm8EUw","LINK - YT")</f>
        <v>LINK - YT</v>
      </c>
      <c r="F130" s="131">
        <v>0.7361111111111112</v>
      </c>
      <c r="G130" s="78"/>
      <c r="H130" s="80" t="s">
        <v>634</v>
      </c>
      <c r="I130" s="80" t="s">
        <v>635</v>
      </c>
      <c r="J130" s="80" t="s">
        <v>636</v>
      </c>
      <c r="K130" s="80" t="s">
        <v>637</v>
      </c>
      <c r="L130" s="80" t="s">
        <v>638</v>
      </c>
      <c r="M130" s="30"/>
      <c r="N130" s="30"/>
      <c r="O130" s="96" t="str">
        <f>HYPERLINK("https://drive.google.com/file/d/1RjUntXrM76QJN4nhlxZmiuzmV7no5a5j/view?usp=sharing","LINK - Meme")</f>
        <v>LINK - Meme</v>
      </c>
      <c r="P130" s="81"/>
      <c r="Q130" s="82"/>
    </row>
    <row r="131">
      <c r="A131" s="108">
        <v>43043.0</v>
      </c>
      <c r="B131" s="108">
        <v>43019.0</v>
      </c>
      <c r="C131" s="35" t="s">
        <v>185</v>
      </c>
      <c r="D131" s="35" t="s">
        <v>469</v>
      </c>
      <c r="E131" s="118" t="str">
        <f>HYPERLINK("https://youtu.be/spwR3q5h_yw","LINK - YT")</f>
        <v>LINK - YT</v>
      </c>
      <c r="F131" s="147">
        <v>0.04237268518518519</v>
      </c>
      <c r="G131" s="148" t="str">
        <f>HYPERLINK("https://www.ibanet.org/Article/NewDetail.aspx?ArticleUid=D58514A5-277A-4666-A93F-5990EACE3DEA","TRANSCRIPT (abridged)")</f>
        <v>TRANSCRIPT (abridged)</v>
      </c>
      <c r="H131" s="149" t="s">
        <v>639</v>
      </c>
      <c r="I131" s="149" t="s">
        <v>640</v>
      </c>
      <c r="J131" s="80" t="s">
        <v>613</v>
      </c>
      <c r="K131" s="80" t="s">
        <v>641</v>
      </c>
      <c r="L131" s="80"/>
      <c r="M131" s="30"/>
      <c r="N131" s="86" t="str">
        <f>HYPERLINK("https://neighbourhoodpaper.com/features/law-julian-assange-english-twats-tweets-trump-hillary-clinton/","Article")</f>
        <v>Article</v>
      </c>
      <c r="O131" s="91"/>
      <c r="P131" s="81"/>
      <c r="Q131" s="82"/>
    </row>
    <row r="132">
      <c r="A132" s="108">
        <v>43459.0</v>
      </c>
      <c r="B132" s="108">
        <v>42987.0</v>
      </c>
      <c r="C132" s="35" t="s">
        <v>185</v>
      </c>
      <c r="D132" s="35" t="s">
        <v>642</v>
      </c>
      <c r="E132" s="118" t="str">
        <f>HYPERLINK("https://youtu.be/8vF_kDqvdO4","LINK - YT")</f>
        <v>LINK - YT</v>
      </c>
      <c r="F132" s="150">
        <v>0.8</v>
      </c>
      <c r="G132" s="151"/>
      <c r="H132" s="149" t="s">
        <v>643</v>
      </c>
      <c r="I132" s="149" t="s">
        <v>644</v>
      </c>
      <c r="J132" s="80"/>
      <c r="K132" s="80" t="s">
        <v>645</v>
      </c>
      <c r="L132" s="80"/>
      <c r="M132" s="30"/>
      <c r="N132" s="36"/>
      <c r="O132" s="91"/>
      <c r="P132" s="81"/>
      <c r="Q132" s="82"/>
    </row>
    <row r="133">
      <c r="A133" s="108">
        <v>42923.0</v>
      </c>
      <c r="B133" s="108">
        <v>42923.0</v>
      </c>
      <c r="C133" s="35" t="s">
        <v>185</v>
      </c>
      <c r="D133" s="35" t="s">
        <v>469</v>
      </c>
      <c r="E133" s="118" t="str">
        <f>HYPERLINK("https://youtu.be/6yUpYmoxDBk","LINK - YT")</f>
        <v>LINK - YT</v>
      </c>
      <c r="F133" s="152" t="s">
        <v>646</v>
      </c>
      <c r="G133" s="151"/>
      <c r="H133" s="149" t="s">
        <v>647</v>
      </c>
      <c r="I133" s="149" t="s">
        <v>648</v>
      </c>
      <c r="J133" s="80"/>
      <c r="K133" s="80"/>
      <c r="L133" s="80"/>
      <c r="M133" s="30"/>
      <c r="N133" s="86" t="str">
        <f>HYPERLINK("https://www.scotsman.com/news/world/julian-assange-g20-summit-is-world-s-most-expensive-disco-1-4496597","Article")</f>
        <v>Article</v>
      </c>
      <c r="O133" s="91"/>
      <c r="P133" s="81"/>
      <c r="Q133" s="82"/>
    </row>
    <row r="134">
      <c r="A134" s="108">
        <v>42916.0</v>
      </c>
      <c r="B134" s="108">
        <v>42916.0</v>
      </c>
      <c r="C134" s="35" t="s">
        <v>649</v>
      </c>
      <c r="D134" s="35"/>
      <c r="E134" s="36"/>
      <c r="F134" s="64"/>
      <c r="G134" s="122" t="str">
        <f>HYPERLINK("https://www.jeffereyjaxen.com/news/julian-assange-blasts-twitter-ceo-jack-dorsey-for-censorship-double-standards-on-death-threats","SUMMARY")</f>
        <v>SUMMARY</v>
      </c>
      <c r="H134" s="80" t="s">
        <v>650</v>
      </c>
      <c r="I134" s="80" t="s">
        <v>651</v>
      </c>
      <c r="J134" s="80" t="s">
        <v>613</v>
      </c>
      <c r="K134" s="80"/>
      <c r="L134" s="80"/>
      <c r="M134" s="86" t="str">
        <f>HYPERLINK("http://archive.is/S3pXf","Tweets")</f>
        <v>Tweets</v>
      </c>
      <c r="N134" s="86" t="str">
        <f>HYPERLINK("https://disobedientmedia.com/2017/07/assange-compiles-media-figures-establishment-democrats-calling-for-his-death/","Article")</f>
        <v>Article</v>
      </c>
      <c r="O134" s="29"/>
      <c r="P134" s="81"/>
      <c r="Q134" s="82"/>
    </row>
    <row r="135">
      <c r="A135" s="108">
        <v>42898.0</v>
      </c>
      <c r="B135" s="108">
        <v>42897.0</v>
      </c>
      <c r="C135" s="35" t="s">
        <v>185</v>
      </c>
      <c r="D135" s="35" t="s">
        <v>469</v>
      </c>
      <c r="E135" s="86" t="str">
        <f>HYPERLINK("https://youtu.be/_c0wgZlSG6Q","LINK - YT")</f>
        <v>LINK - YT</v>
      </c>
      <c r="F135" s="146" t="s">
        <v>652</v>
      </c>
      <c r="G135" s="153"/>
      <c r="H135" s="80" t="s">
        <v>653</v>
      </c>
      <c r="I135" s="80" t="s">
        <v>654</v>
      </c>
      <c r="J135" s="80" t="s">
        <v>655</v>
      </c>
      <c r="K135" s="80" t="s">
        <v>656</v>
      </c>
      <c r="L135" s="80" t="s">
        <v>657</v>
      </c>
      <c r="M135" s="30"/>
      <c r="N135" s="86" t="str">
        <f>HYPERLINK("https://www.pastemagazine.com/articles/2017/06/mia-had-julian-assange-as-a-guest-at-her-meltdown.html","Article")</f>
        <v>Article</v>
      </c>
      <c r="O135" s="29"/>
      <c r="P135" s="81"/>
      <c r="Q135" s="82"/>
    </row>
    <row r="136">
      <c r="A136" s="108">
        <v>42874.0</v>
      </c>
      <c r="B136" s="108">
        <v>42874.0</v>
      </c>
      <c r="C136" s="35" t="s">
        <v>185</v>
      </c>
      <c r="D136" s="35" t="s">
        <v>469</v>
      </c>
      <c r="E136" s="86" t="str">
        <f>HYPERLINK("https://youtu.be/Bf5Z1v3aQXQ","LINK - YT")</f>
        <v>LINK - YT</v>
      </c>
      <c r="F136" s="146" t="s">
        <v>658</v>
      </c>
      <c r="G136" s="153"/>
      <c r="H136" s="80" t="s">
        <v>659</v>
      </c>
      <c r="I136" s="80" t="s">
        <v>660</v>
      </c>
      <c r="J136" s="80"/>
      <c r="K136" s="80" t="s">
        <v>661</v>
      </c>
      <c r="L136" s="80" t="s">
        <v>662</v>
      </c>
      <c r="M136" s="30"/>
      <c r="N136" s="30"/>
      <c r="O136" s="29"/>
      <c r="P136" s="81"/>
      <c r="Q136" s="82"/>
    </row>
    <row r="137">
      <c r="A137" s="108">
        <v>43425.0</v>
      </c>
      <c r="B137" s="108">
        <v>42852.0</v>
      </c>
      <c r="C137" s="35" t="s">
        <v>185</v>
      </c>
      <c r="D137" s="35" t="s">
        <v>469</v>
      </c>
      <c r="E137" s="86" t="str">
        <f>HYPERLINK("https://youtu.be/xiQLxyPzKzY","LINK - YT")</f>
        <v>LINK - YT</v>
      </c>
      <c r="F137" s="87">
        <v>0.5208333333333334</v>
      </c>
      <c r="G137" s="153"/>
      <c r="H137" s="80" t="s">
        <v>663</v>
      </c>
      <c r="I137" s="80" t="s">
        <v>664</v>
      </c>
      <c r="J137" s="80" t="s">
        <v>665</v>
      </c>
      <c r="K137" s="80"/>
      <c r="L137" s="80"/>
      <c r="M137" s="30"/>
      <c r="N137" s="30"/>
      <c r="O137" s="29"/>
      <c r="P137" s="81"/>
      <c r="Q137" s="82"/>
    </row>
    <row r="138">
      <c r="A138" s="108">
        <v>42852.0</v>
      </c>
      <c r="B138" s="108">
        <v>42852.0</v>
      </c>
      <c r="C138" s="35" t="s">
        <v>185</v>
      </c>
      <c r="D138" s="35" t="s">
        <v>469</v>
      </c>
      <c r="E138" s="86" t="str">
        <f>HYPERLINK("https://youtu.be/QwkrtpXp-wg","LINK - YT")</f>
        <v>LINK - YT</v>
      </c>
      <c r="F138" s="146" t="s">
        <v>666</v>
      </c>
      <c r="G138" s="153"/>
      <c r="H138" s="80" t="s">
        <v>667</v>
      </c>
      <c r="I138" s="80" t="s">
        <v>668</v>
      </c>
      <c r="J138" s="80" t="s">
        <v>665</v>
      </c>
      <c r="K138" s="80"/>
      <c r="L138" s="80"/>
      <c r="M138" s="30"/>
      <c r="N138" s="30"/>
      <c r="O138" s="29"/>
      <c r="P138" s="81"/>
      <c r="Q138" s="82"/>
    </row>
    <row r="139">
      <c r="A139" s="108">
        <v>42850.0</v>
      </c>
      <c r="B139" s="108">
        <v>42850.0</v>
      </c>
      <c r="C139" s="35" t="s">
        <v>245</v>
      </c>
      <c r="D139" s="35" t="s">
        <v>669</v>
      </c>
      <c r="E139" s="36"/>
      <c r="F139" s="64"/>
      <c r="G139" s="122" t="str">
        <f>HYPERLINK("https://www.washingtonpost.com/opinions/julian-assange-the-cia-director-is-waging-war-on-truth-tellers-like-wikileaks/2017/04/25/b8aa5cfc-29c7-11e7-a616-d7c8a68c1a66_story.html?utm_term=.1f27d923bf6a","ARTICLE")</f>
        <v>ARTICLE</v>
      </c>
      <c r="H139" s="80" t="s">
        <v>670</v>
      </c>
      <c r="I139" s="80"/>
      <c r="J139" s="80"/>
      <c r="K139" s="80"/>
      <c r="L139" s="80"/>
      <c r="M139" s="30"/>
      <c r="N139" s="30"/>
      <c r="O139" s="29"/>
      <c r="P139" s="81"/>
      <c r="Q139" s="82"/>
    </row>
    <row r="140">
      <c r="A140" s="108">
        <v>42846.0</v>
      </c>
      <c r="B140" s="108"/>
      <c r="C140" s="35" t="s">
        <v>671</v>
      </c>
      <c r="D140" s="35" t="s">
        <v>633</v>
      </c>
      <c r="E140" s="86" t="str">
        <f>HYPERLINK("https://www.democracynow.org/2017/4/21/glenn_greenwald_trumps_doj_prosecuting_wikileaks","LINK - DN")</f>
        <v>LINK - DN</v>
      </c>
      <c r="F140" s="64"/>
      <c r="G140" s="153"/>
      <c r="H140" s="80" t="s">
        <v>672</v>
      </c>
      <c r="I140" s="80" t="s">
        <v>673</v>
      </c>
      <c r="J140" s="80" t="s">
        <v>674</v>
      </c>
      <c r="K140" s="80" t="s">
        <v>675</v>
      </c>
      <c r="L140" s="80"/>
      <c r="M140" s="30"/>
      <c r="N140" s="30"/>
      <c r="O140" s="29"/>
      <c r="P140" s="81"/>
      <c r="Q140" s="82"/>
    </row>
    <row r="141">
      <c r="A141" s="108">
        <v>42835.0</v>
      </c>
      <c r="B141" s="108">
        <v>42837.0</v>
      </c>
      <c r="C141" s="35" t="s">
        <v>185</v>
      </c>
      <c r="D141" s="35" t="s">
        <v>469</v>
      </c>
      <c r="E141" s="86" t="str">
        <f>HYPERLINK("https://youtu.be/SpXbgx4hnlc","LINK - YT")</f>
        <v>LINK - YT</v>
      </c>
      <c r="F141" s="146" t="s">
        <v>676</v>
      </c>
      <c r="G141" s="153"/>
      <c r="H141" s="80" t="s">
        <v>677</v>
      </c>
      <c r="I141" s="80" t="s">
        <v>678</v>
      </c>
      <c r="J141" s="80" t="s">
        <v>679</v>
      </c>
      <c r="K141" s="80" t="s">
        <v>680</v>
      </c>
      <c r="L141" s="80"/>
      <c r="M141" s="30"/>
      <c r="N141" s="30"/>
      <c r="O141" s="29"/>
      <c r="P141" s="81"/>
      <c r="Q141" s="82"/>
    </row>
    <row r="142">
      <c r="A142" s="108">
        <v>42803.0</v>
      </c>
      <c r="B142" s="108">
        <v>42803.0</v>
      </c>
      <c r="C142" s="35" t="s">
        <v>185</v>
      </c>
      <c r="D142" s="35" t="s">
        <v>469</v>
      </c>
      <c r="E142" s="86" t="str">
        <f>HYPERLINK("https://youtu.be/uxmMt4EW3PQ","LINK - YT")</f>
        <v>LINK - YT</v>
      </c>
      <c r="F142" s="154">
        <v>0.04814814814814815</v>
      </c>
      <c r="G142" s="153"/>
      <c r="H142" s="80" t="s">
        <v>681</v>
      </c>
      <c r="I142" s="80" t="s">
        <v>682</v>
      </c>
      <c r="J142" s="155" t="s">
        <v>613</v>
      </c>
      <c r="K142" s="80" t="s">
        <v>683</v>
      </c>
      <c r="L142" s="80"/>
      <c r="M142" s="30"/>
      <c r="N142" s="30"/>
      <c r="O142" s="29"/>
      <c r="P142" s="81"/>
      <c r="Q142" s="82"/>
    </row>
    <row r="143">
      <c r="A143" s="108">
        <v>42803.0</v>
      </c>
      <c r="B143" s="108">
        <v>42803.0</v>
      </c>
      <c r="C143" s="35" t="s">
        <v>185</v>
      </c>
      <c r="D143" s="35" t="s">
        <v>469</v>
      </c>
      <c r="E143" s="86" t="str">
        <f>HYPERLINK("https://youtu.be/2pXXrYNSh_k","LINK - YT")</f>
        <v>LINK - YT</v>
      </c>
      <c r="F143" s="146" t="s">
        <v>684</v>
      </c>
      <c r="G143" s="153"/>
      <c r="H143" s="80" t="s">
        <v>685</v>
      </c>
      <c r="I143" s="80" t="s">
        <v>682</v>
      </c>
      <c r="J143" s="155" t="s">
        <v>686</v>
      </c>
      <c r="K143" s="80" t="s">
        <v>687</v>
      </c>
      <c r="L143" s="80"/>
      <c r="M143" s="30"/>
      <c r="N143" s="30"/>
      <c r="O143" s="29"/>
      <c r="P143" s="81"/>
      <c r="Q143" s="82"/>
    </row>
    <row r="144">
      <c r="A144" s="108">
        <v>42755.0</v>
      </c>
      <c r="B144" s="108"/>
      <c r="C144" s="35" t="s">
        <v>185</v>
      </c>
      <c r="D144" s="35" t="s">
        <v>469</v>
      </c>
      <c r="E144" s="86" t="str">
        <f>HYPERLINK("https://youtu.be/n0FesrS2Nio","LINK - YT")</f>
        <v>LINK - YT</v>
      </c>
      <c r="F144" s="87">
        <v>0.80625</v>
      </c>
      <c r="G144" s="78"/>
      <c r="H144" s="90" t="s">
        <v>688</v>
      </c>
      <c r="I144" s="80" t="s">
        <v>689</v>
      </c>
      <c r="J144" s="80" t="s">
        <v>690</v>
      </c>
      <c r="K144" s="80" t="s">
        <v>691</v>
      </c>
      <c r="L144" s="80" t="s">
        <v>692</v>
      </c>
      <c r="M144" s="30"/>
      <c r="N144" s="36"/>
      <c r="O144" s="29"/>
      <c r="P144" s="81"/>
      <c r="Q144" s="82"/>
    </row>
    <row r="145">
      <c r="A145" s="108">
        <v>42745.0</v>
      </c>
      <c r="B145" s="108">
        <v>42745.0</v>
      </c>
      <c r="C145" s="35" t="s">
        <v>185</v>
      </c>
      <c r="D145" s="35" t="s">
        <v>693</v>
      </c>
      <c r="E145" s="86" t="str">
        <f>HYPERLINK("https://archive.org/details/JulianAssangeAliveAMAJan10th2017","LINK - Archive")</f>
        <v>LINK - Archive</v>
      </c>
      <c r="F145" s="64" t="s">
        <v>694</v>
      </c>
      <c r="G145" s="78"/>
      <c r="H145" s="90" t="s">
        <v>695</v>
      </c>
      <c r="I145" s="80" t="s">
        <v>696</v>
      </c>
      <c r="J145" s="80" t="s">
        <v>613</v>
      </c>
      <c r="K145" s="80" t="s">
        <v>614</v>
      </c>
      <c r="L145" s="80"/>
      <c r="M145" s="30"/>
      <c r="N145" s="86" t="str">
        <f>HYPERLINK("https://twitter.com/i/moments/1088661041431617536","Twitter Moment")</f>
        <v>Twitter Moment</v>
      </c>
      <c r="O145" s="29"/>
      <c r="P145" s="81"/>
      <c r="Q145" s="82"/>
    </row>
    <row r="146">
      <c r="A146" s="156">
        <v>43484.0</v>
      </c>
      <c r="B146" s="156">
        <v>42745.0</v>
      </c>
      <c r="C146" s="35" t="s">
        <v>185</v>
      </c>
      <c r="D146" s="35" t="s">
        <v>469</v>
      </c>
      <c r="E146" s="86" t="str">
        <f>HYPERLINK("https://youtu.be/Tq4Wz9o-uNs","LINK - YT")</f>
        <v>LINK - YT</v>
      </c>
      <c r="F146" s="87">
        <v>0.2361111111111111</v>
      </c>
      <c r="G146" s="78"/>
      <c r="H146" s="90" t="s">
        <v>697</v>
      </c>
      <c r="I146" s="80"/>
      <c r="J146" s="80" t="s">
        <v>613</v>
      </c>
      <c r="K146" s="80" t="s">
        <v>614</v>
      </c>
      <c r="L146" s="80"/>
      <c r="M146" s="30"/>
      <c r="N146" s="36"/>
      <c r="O146" s="29"/>
      <c r="P146" s="81"/>
      <c r="Q146" s="82"/>
    </row>
    <row r="147">
      <c r="A147" s="156">
        <v>43484.0</v>
      </c>
      <c r="B147" s="156">
        <v>42745.0</v>
      </c>
      <c r="C147" s="35" t="s">
        <v>185</v>
      </c>
      <c r="D147" s="35" t="s">
        <v>469</v>
      </c>
      <c r="E147" s="86" t="str">
        <f>HYPERLINK("https://youtu.be/0AI9Kr6UcfY","LINK - YT")</f>
        <v>LINK - YT</v>
      </c>
      <c r="F147" s="87">
        <v>0.035416666666666666</v>
      </c>
      <c r="G147" s="78"/>
      <c r="H147" s="90" t="s">
        <v>698</v>
      </c>
      <c r="I147" s="80"/>
      <c r="J147" s="80" t="s">
        <v>613</v>
      </c>
      <c r="K147" s="80" t="s">
        <v>614</v>
      </c>
      <c r="L147" s="80"/>
      <c r="M147" s="30"/>
      <c r="N147" s="36"/>
      <c r="O147" s="29"/>
      <c r="P147" s="81"/>
      <c r="Q147" s="82"/>
    </row>
    <row r="148">
      <c r="A148" s="156">
        <v>43484.0</v>
      </c>
      <c r="B148" s="156">
        <v>42745.0</v>
      </c>
      <c r="C148" s="35" t="s">
        <v>185</v>
      </c>
      <c r="D148" s="35" t="s">
        <v>469</v>
      </c>
      <c r="E148" s="86" t="str">
        <f>HYPERLINK("https://youtu.be/lVvnU9YXNAQ","LINK - YT")</f>
        <v>LINK - YT</v>
      </c>
      <c r="F148" s="87">
        <v>0.39652777777777776</v>
      </c>
      <c r="G148" s="78"/>
      <c r="H148" s="90" t="s">
        <v>699</v>
      </c>
      <c r="I148" s="80"/>
      <c r="J148" s="80" t="s">
        <v>613</v>
      </c>
      <c r="K148" s="80" t="s">
        <v>614</v>
      </c>
      <c r="L148" s="80"/>
      <c r="M148" s="30"/>
      <c r="N148" s="36"/>
      <c r="O148" s="29"/>
      <c r="P148" s="81"/>
      <c r="Q148" s="82"/>
    </row>
    <row r="149">
      <c r="A149" s="156">
        <v>43484.0</v>
      </c>
      <c r="B149" s="156">
        <v>42745.0</v>
      </c>
      <c r="C149" s="35" t="s">
        <v>185</v>
      </c>
      <c r="D149" s="35" t="s">
        <v>469</v>
      </c>
      <c r="E149" s="86" t="str">
        <f>HYPERLINK("https://youtu.be/R7G8U4jeMlU","LINK - YT")</f>
        <v>LINK - YT</v>
      </c>
      <c r="F149" s="87">
        <v>0.39791666666666664</v>
      </c>
      <c r="G149" s="78"/>
      <c r="H149" s="90" t="s">
        <v>700</v>
      </c>
      <c r="I149" s="80"/>
      <c r="J149" s="80" t="s">
        <v>613</v>
      </c>
      <c r="K149" s="80" t="s">
        <v>614</v>
      </c>
      <c r="L149" s="80"/>
      <c r="M149" s="30"/>
      <c r="N149" s="36"/>
      <c r="O149" s="29"/>
      <c r="P149" s="81"/>
      <c r="Q149" s="82"/>
    </row>
    <row r="150">
      <c r="A150" s="156">
        <v>43484.0</v>
      </c>
      <c r="B150" s="156">
        <v>42745.0</v>
      </c>
      <c r="C150" s="35" t="s">
        <v>185</v>
      </c>
      <c r="D150" s="35" t="s">
        <v>469</v>
      </c>
      <c r="E150" s="86" t="str">
        <f>HYPERLINK("https://youtu.be/M5iapjIyNPg","LINK - YT")</f>
        <v>LINK - YT</v>
      </c>
      <c r="F150" s="87">
        <v>0.12638888888888888</v>
      </c>
      <c r="G150" s="78"/>
      <c r="H150" s="90" t="s">
        <v>701</v>
      </c>
      <c r="I150" s="80"/>
      <c r="J150" s="80" t="s">
        <v>613</v>
      </c>
      <c r="K150" s="80" t="s">
        <v>614</v>
      </c>
      <c r="L150" s="80"/>
      <c r="M150" s="30"/>
      <c r="N150" s="36"/>
      <c r="O150" s="29"/>
      <c r="P150" s="81"/>
      <c r="Q150" s="82"/>
    </row>
    <row r="151">
      <c r="A151" s="156">
        <v>43484.0</v>
      </c>
      <c r="B151" s="156">
        <v>42745.0</v>
      </c>
      <c r="C151" s="35" t="s">
        <v>185</v>
      </c>
      <c r="D151" s="35" t="s">
        <v>469</v>
      </c>
      <c r="E151" s="86" t="str">
        <f>HYPERLINK("https://youtu.be/PLVzcN83Hu4","LINK - YT")</f>
        <v>LINK - YT</v>
      </c>
      <c r="F151" s="87">
        <v>0.13819444444444445</v>
      </c>
      <c r="G151" s="78"/>
      <c r="H151" s="90" t="s">
        <v>702</v>
      </c>
      <c r="I151" s="80"/>
      <c r="J151" s="80" t="s">
        <v>613</v>
      </c>
      <c r="K151" s="80" t="s">
        <v>614</v>
      </c>
      <c r="L151" s="80"/>
      <c r="M151" s="30"/>
      <c r="N151" s="36"/>
      <c r="O151" s="29"/>
      <c r="P151" s="81"/>
      <c r="Q151" s="82"/>
    </row>
    <row r="152">
      <c r="A152" s="156">
        <v>43484.0</v>
      </c>
      <c r="B152" s="156">
        <v>42745.0</v>
      </c>
      <c r="C152" s="35" t="s">
        <v>185</v>
      </c>
      <c r="D152" s="35" t="s">
        <v>469</v>
      </c>
      <c r="E152" s="86" t="str">
        <f>HYPERLINK("https://youtu.be/dzJf_K6MjK0","LINK - YT")</f>
        <v>LINK - YT</v>
      </c>
      <c r="F152" s="87">
        <v>0.07430555555555556</v>
      </c>
      <c r="G152" s="78"/>
      <c r="H152" s="90" t="s">
        <v>703</v>
      </c>
      <c r="I152" s="80"/>
      <c r="J152" s="80" t="s">
        <v>613</v>
      </c>
      <c r="K152" s="80" t="s">
        <v>614</v>
      </c>
      <c r="L152" s="80"/>
      <c r="M152" s="30"/>
      <c r="N152" s="86" t="str">
        <f>HYPERLINK("https://www.justice4assange.com/Assange-affidavit.html","Assange affidavit (Pt 8)")</f>
        <v>Assange affidavit (Pt 8)</v>
      </c>
      <c r="O152" s="29"/>
      <c r="P152" s="81"/>
      <c r="Q152" s="82"/>
    </row>
    <row r="153">
      <c r="A153" s="156">
        <v>43484.0</v>
      </c>
      <c r="B153" s="156">
        <v>42745.0</v>
      </c>
      <c r="C153" s="35" t="s">
        <v>185</v>
      </c>
      <c r="D153" s="35" t="s">
        <v>469</v>
      </c>
      <c r="E153" s="86" t="str">
        <f>HYPERLINK("https://youtu.be/t5WMwoqEglA","LINK - YT")</f>
        <v>LINK - YT</v>
      </c>
      <c r="F153" s="87">
        <v>0.10416666666666667</v>
      </c>
      <c r="G153" s="78"/>
      <c r="H153" s="90" t="s">
        <v>704</v>
      </c>
      <c r="I153" s="80"/>
      <c r="J153" s="80" t="s">
        <v>613</v>
      </c>
      <c r="K153" s="80" t="s">
        <v>614</v>
      </c>
      <c r="L153" s="80"/>
      <c r="M153" s="30"/>
      <c r="N153" s="36"/>
      <c r="O153" s="29"/>
      <c r="P153" s="81"/>
      <c r="Q153" s="82"/>
    </row>
    <row r="154">
      <c r="A154" s="156">
        <v>43484.0</v>
      </c>
      <c r="B154" s="156">
        <v>42745.0</v>
      </c>
      <c r="C154" s="35" t="s">
        <v>185</v>
      </c>
      <c r="D154" s="35" t="s">
        <v>469</v>
      </c>
      <c r="E154" s="86" t="str">
        <f>HYPERLINK("https://youtu.be/LtEiece08jc","LINK - YT")</f>
        <v>LINK - YT</v>
      </c>
      <c r="F154" s="87">
        <v>0.18125</v>
      </c>
      <c r="G154" s="78"/>
      <c r="H154" s="90" t="s">
        <v>705</v>
      </c>
      <c r="I154" s="80"/>
      <c r="J154" s="80" t="s">
        <v>613</v>
      </c>
      <c r="K154" s="80" t="s">
        <v>614</v>
      </c>
      <c r="L154" s="80"/>
      <c r="M154" s="30"/>
      <c r="N154" s="36"/>
      <c r="O154" s="29"/>
      <c r="P154" s="81"/>
      <c r="Q154" s="82"/>
    </row>
    <row r="155">
      <c r="A155" s="156">
        <v>43484.0</v>
      </c>
      <c r="B155" s="156">
        <v>42745.0</v>
      </c>
      <c r="C155" s="35" t="s">
        <v>185</v>
      </c>
      <c r="D155" s="35" t="s">
        <v>469</v>
      </c>
      <c r="E155" s="86" t="str">
        <f>HYPERLINK("https://youtu.be/L1fPrf2Kgyc","LINK - YT")</f>
        <v>LINK - YT</v>
      </c>
      <c r="F155" s="87">
        <v>0.22083333333333333</v>
      </c>
      <c r="G155" s="78"/>
      <c r="H155" s="90" t="s">
        <v>706</v>
      </c>
      <c r="I155" s="80"/>
      <c r="J155" s="80" t="s">
        <v>613</v>
      </c>
      <c r="K155" s="80" t="s">
        <v>614</v>
      </c>
      <c r="L155" s="80"/>
      <c r="M155" s="30"/>
      <c r="N155" s="36"/>
      <c r="O155" s="29"/>
      <c r="P155" s="81"/>
      <c r="Q155" s="82"/>
    </row>
    <row r="156">
      <c r="A156" s="156">
        <v>43484.0</v>
      </c>
      <c r="B156" s="156">
        <v>42745.0</v>
      </c>
      <c r="C156" s="35" t="s">
        <v>185</v>
      </c>
      <c r="D156" s="35" t="s">
        <v>469</v>
      </c>
      <c r="E156" s="86" t="str">
        <f>HYPERLINK("https://youtu.be/xSrATy96XJU","LINK - YT")</f>
        <v>LINK - YT</v>
      </c>
      <c r="F156" s="87">
        <v>0.23055555555555557</v>
      </c>
      <c r="G156" s="78"/>
      <c r="H156" s="90" t="s">
        <v>707</v>
      </c>
      <c r="I156" s="80"/>
      <c r="J156" s="80" t="s">
        <v>613</v>
      </c>
      <c r="K156" s="80" t="s">
        <v>614</v>
      </c>
      <c r="L156" s="80"/>
      <c r="M156" s="30"/>
      <c r="N156" s="36"/>
      <c r="O156" s="29"/>
      <c r="P156" s="81"/>
      <c r="Q156" s="82"/>
    </row>
    <row r="157">
      <c r="A157" s="108">
        <v>42739.0</v>
      </c>
      <c r="B157" s="108">
        <v>42738.0</v>
      </c>
      <c r="C157" s="35" t="s">
        <v>185</v>
      </c>
      <c r="D157" s="35" t="s">
        <v>708</v>
      </c>
      <c r="E157" s="86" t="str">
        <f>HYPERLINK("https://youtu.be/AV_dJaLpFJc","LINK - YT")</f>
        <v>LINK - YT</v>
      </c>
      <c r="F157" s="146" t="s">
        <v>709</v>
      </c>
      <c r="G157" s="78"/>
      <c r="H157" s="90" t="s">
        <v>710</v>
      </c>
      <c r="I157" s="80" t="s">
        <v>711</v>
      </c>
      <c r="J157" s="80" t="s">
        <v>712</v>
      </c>
      <c r="K157" s="80" t="s">
        <v>614</v>
      </c>
      <c r="L157" s="80" t="s">
        <v>713</v>
      </c>
      <c r="M157" s="30"/>
      <c r="N157" s="36"/>
      <c r="O157" s="96" t="str">
        <f>HYPERLINK("https://www.pinterest.nz/pin/640426009488674213/","MEME")</f>
        <v>MEME</v>
      </c>
      <c r="P157" s="81"/>
      <c r="Q157" s="82"/>
    </row>
    <row r="158">
      <c r="A158" s="157">
        <v>42761.0</v>
      </c>
      <c r="B158" s="157">
        <v>42731.0</v>
      </c>
      <c r="C158" s="35" t="s">
        <v>185</v>
      </c>
      <c r="D158" s="35" t="s">
        <v>714</v>
      </c>
      <c r="E158" s="86" t="str">
        <f>HYPERLINK("https://youtu.be/JO7kUPIz4No","LINK - YT")</f>
        <v>LINK - YT</v>
      </c>
      <c r="F158" s="146" t="s">
        <v>715</v>
      </c>
      <c r="G158" s="153"/>
      <c r="H158" s="158" t="s">
        <v>716</v>
      </c>
      <c r="I158" s="80" t="s">
        <v>717</v>
      </c>
      <c r="J158" s="80" t="s">
        <v>718</v>
      </c>
      <c r="K158" s="80" t="s">
        <v>614</v>
      </c>
      <c r="L158" s="80" t="s">
        <v>719</v>
      </c>
      <c r="M158" s="30"/>
      <c r="N158" s="36"/>
      <c r="O158" s="29"/>
      <c r="P158" s="81"/>
      <c r="Q158" s="82"/>
    </row>
    <row r="159">
      <c r="A159" s="157">
        <v>42727.0</v>
      </c>
      <c r="B159" s="157"/>
      <c r="C159" s="35" t="s">
        <v>245</v>
      </c>
      <c r="D159" s="35" t="s">
        <v>720</v>
      </c>
      <c r="E159" s="36"/>
      <c r="F159" s="64"/>
      <c r="G159" s="122" t="str">
        <f>HYPERLINK("https://www.repubblica.it/esteri/2016/12/23/news/assange_wikileaks-154754000/","ARTICLE")</f>
        <v>ARTICLE</v>
      </c>
      <c r="H159" s="158" t="s">
        <v>721</v>
      </c>
      <c r="I159" s="79"/>
      <c r="J159" s="80" t="s">
        <v>722</v>
      </c>
      <c r="K159" s="80" t="s">
        <v>614</v>
      </c>
      <c r="L159" s="79"/>
      <c r="M159" s="30"/>
      <c r="N159" s="36"/>
      <c r="O159" s="29"/>
      <c r="P159" s="81"/>
      <c r="Q159" s="82"/>
    </row>
    <row r="160">
      <c r="A160" s="157">
        <v>42738.0</v>
      </c>
      <c r="B160" s="157">
        <v>42700.0</v>
      </c>
      <c r="C160" s="35" t="s">
        <v>671</v>
      </c>
      <c r="D160" s="35" t="s">
        <v>469</v>
      </c>
      <c r="E160" s="86" t="str">
        <f>HYPERLINK("https://youtu.be/gOpUO_eEHl0","LINK - YT")</f>
        <v>LINK - YT</v>
      </c>
      <c r="F160" s="146" t="s">
        <v>723</v>
      </c>
      <c r="G160" s="78"/>
      <c r="H160" s="158" t="s">
        <v>724</v>
      </c>
      <c r="I160" s="79"/>
      <c r="J160" s="80" t="s">
        <v>725</v>
      </c>
      <c r="K160" s="80" t="s">
        <v>726</v>
      </c>
      <c r="L160" s="79"/>
      <c r="M160" s="30"/>
      <c r="N160" s="86" t="str">
        <f>HYPERLINK("http://mcfmi.org/2664-2/","LINK - Website")</f>
        <v>LINK - Website</v>
      </c>
      <c r="O160" s="29"/>
      <c r="P160" s="81"/>
      <c r="Q160" s="82"/>
    </row>
    <row r="161">
      <c r="A161" s="157">
        <v>42682.0</v>
      </c>
      <c r="B161" s="157"/>
      <c r="C161" s="35" t="s">
        <v>245</v>
      </c>
      <c r="D161" s="35" t="s">
        <v>413</v>
      </c>
      <c r="E161" s="36"/>
      <c r="F161" s="64"/>
      <c r="G161" s="122" t="str">
        <f>HYPERLINK("https://wikileaks.org/Assange-Statement-on-the-US-Election.html","STATEMENT")</f>
        <v>STATEMENT</v>
      </c>
      <c r="H161" s="80" t="s">
        <v>727</v>
      </c>
      <c r="I161" s="80" t="s">
        <v>728</v>
      </c>
      <c r="J161" s="80" t="s">
        <v>413</v>
      </c>
      <c r="K161" s="80"/>
      <c r="L161" s="80"/>
      <c r="M161" s="30"/>
      <c r="N161" s="30"/>
      <c r="O161" s="29"/>
      <c r="P161" s="81"/>
      <c r="Q161" s="82"/>
    </row>
    <row r="162">
      <c r="A162" s="157">
        <v>42679.0</v>
      </c>
      <c r="B162" s="157" t="s">
        <v>729</v>
      </c>
      <c r="C162" s="35" t="s">
        <v>185</v>
      </c>
      <c r="D162" s="35" t="s">
        <v>469</v>
      </c>
      <c r="E162" s="86" t="str">
        <f>HYPERLINK("https://youtu.be/_sbT3_9dJY4","LINK -YT")</f>
        <v>LINK -YT</v>
      </c>
      <c r="F162" s="146" t="s">
        <v>730</v>
      </c>
      <c r="G162" s="122" t="str">
        <f>HYPERLINK("https://www.rt.com/news/365405-assange-pilger-full-transcript/","TRANSCRIPT")</f>
        <v>TRANSCRIPT</v>
      </c>
      <c r="H162" s="80" t="s">
        <v>731</v>
      </c>
      <c r="I162" s="80" t="s">
        <v>732</v>
      </c>
      <c r="J162" s="80" t="s">
        <v>733</v>
      </c>
      <c r="K162" s="80" t="s">
        <v>661</v>
      </c>
      <c r="L162" s="80" t="s">
        <v>734</v>
      </c>
      <c r="M162" s="30"/>
      <c r="N162" s="30"/>
      <c r="O162" s="29"/>
      <c r="P162" s="81"/>
      <c r="Q162" s="82"/>
    </row>
    <row r="163">
      <c r="A163" s="159">
        <v>42846.0</v>
      </c>
      <c r="B163" s="157">
        <v>42649.0</v>
      </c>
      <c r="C163" s="91" t="s">
        <v>429</v>
      </c>
      <c r="D163" s="35" t="s">
        <v>187</v>
      </c>
      <c r="E163" s="36"/>
      <c r="F163" s="64"/>
      <c r="G163" s="122" t="str">
        <f>HYPERLINK("https://twitter.com/wikileaks/status/855378158379573248","TWEET")</f>
        <v>TWEET</v>
      </c>
      <c r="H163" s="80" t="s">
        <v>735</v>
      </c>
      <c r="I163" s="80"/>
      <c r="J163" s="80" t="s">
        <v>736</v>
      </c>
      <c r="K163" s="80"/>
      <c r="L163" s="80" t="s">
        <v>737</v>
      </c>
      <c r="M163" s="30"/>
      <c r="N163" s="30"/>
      <c r="O163" s="29"/>
      <c r="P163" s="81"/>
      <c r="Q163" s="82"/>
    </row>
    <row r="164">
      <c r="A164" s="159">
        <v>43377.0</v>
      </c>
      <c r="B164" s="157">
        <v>42647.0</v>
      </c>
      <c r="C164" s="91" t="s">
        <v>185</v>
      </c>
      <c r="D164" s="35" t="s">
        <v>469</v>
      </c>
      <c r="E164" s="86" t="str">
        <f>HYPERLINK("https://youtu.be/kGVTd5Dpbo0?t=3296","LINK -YT")</f>
        <v>LINK -YT</v>
      </c>
      <c r="F164" s="146" t="s">
        <v>738</v>
      </c>
      <c r="G164" s="153"/>
      <c r="H164" s="80" t="s">
        <v>739</v>
      </c>
      <c r="I164" s="80"/>
      <c r="J164" s="80" t="s">
        <v>613</v>
      </c>
      <c r="K164" s="80" t="s">
        <v>740</v>
      </c>
      <c r="L164" s="80" t="s">
        <v>741</v>
      </c>
      <c r="M164" s="30"/>
      <c r="N164" s="30"/>
      <c r="O164" s="29"/>
      <c r="P164" s="81"/>
      <c r="Q164" s="82"/>
    </row>
    <row r="165">
      <c r="A165" s="160" t="s">
        <v>742</v>
      </c>
      <c r="B165" s="157"/>
      <c r="C165" s="35" t="s">
        <v>245</v>
      </c>
      <c r="D165" s="35" t="s">
        <v>743</v>
      </c>
      <c r="E165" s="36"/>
      <c r="F165" s="154"/>
      <c r="G165" s="122" t="str">
        <f>HYPERLINK("http://www.spiegel.de/international/world/wikileaks-founder-julian-assange-we-believe-in-what-we-re-doing-a-1114774.html","INTERVIEW")</f>
        <v>INTERVIEW</v>
      </c>
      <c r="H165" s="80" t="s">
        <v>744</v>
      </c>
      <c r="I165" s="80"/>
      <c r="J165" s="80" t="s">
        <v>613</v>
      </c>
      <c r="K165" s="80"/>
      <c r="L165" s="80"/>
      <c r="M165" s="30"/>
      <c r="N165" s="30"/>
      <c r="O165" s="29"/>
      <c r="P165" s="81"/>
      <c r="Q165" s="82"/>
    </row>
    <row r="166">
      <c r="A166" s="157">
        <v>42608.0</v>
      </c>
      <c r="B166" s="157">
        <v>42608.0</v>
      </c>
      <c r="C166" s="35" t="s">
        <v>185</v>
      </c>
      <c r="D166" s="35" t="s">
        <v>469</v>
      </c>
      <c r="E166" s="86" t="str">
        <f>HYPERLINK("https://youtu.be/EMYhBfDHD-M","LINK - YT")</f>
        <v>LINK - YT</v>
      </c>
      <c r="F166" s="131">
        <v>0.5215277777777778</v>
      </c>
      <c r="G166" s="153"/>
      <c r="H166" s="80" t="s">
        <v>745</v>
      </c>
      <c r="I166" s="80" t="s">
        <v>746</v>
      </c>
      <c r="J166" s="80" t="s">
        <v>613</v>
      </c>
      <c r="K166" s="80" t="s">
        <v>637</v>
      </c>
      <c r="L166" s="80"/>
      <c r="M166" s="30"/>
      <c r="N166" s="30"/>
      <c r="O166" s="91"/>
      <c r="P166" s="81"/>
      <c r="Q166" s="82"/>
    </row>
    <row r="167">
      <c r="A167" s="157">
        <v>43111.0</v>
      </c>
      <c r="B167" s="157">
        <v>42607.0</v>
      </c>
      <c r="C167" s="35" t="s">
        <v>671</v>
      </c>
      <c r="D167" s="35" t="s">
        <v>469</v>
      </c>
      <c r="E167" s="86" t="str">
        <f>HYPERLINK("https://youtu.be/BEmM4rHVlTQ?t=92","LINK - YT")</f>
        <v>LINK - YT</v>
      </c>
      <c r="F167" s="131">
        <v>1.6006944444444444</v>
      </c>
      <c r="G167" s="153"/>
      <c r="H167" s="80" t="s">
        <v>747</v>
      </c>
      <c r="I167" s="80" t="s">
        <v>748</v>
      </c>
      <c r="J167" s="80"/>
      <c r="K167" s="80"/>
      <c r="L167" s="80"/>
      <c r="M167" s="30"/>
      <c r="N167" s="30"/>
      <c r="O167" s="91"/>
      <c r="P167" s="81"/>
      <c r="Q167" s="82"/>
    </row>
    <row r="168">
      <c r="A168" s="157">
        <v>42604.0</v>
      </c>
      <c r="B168" s="157"/>
      <c r="C168" s="35" t="s">
        <v>245</v>
      </c>
      <c r="D168" s="35" t="s">
        <v>749</v>
      </c>
      <c r="E168" s="36"/>
      <c r="F168" s="154"/>
      <c r="G168" s="122" t="str">
        <f>HYPERLINK("https://www.eltelegrafo.com.ec/noticias/politica/1/cuando-salga-visitare-a-rafael-correa","INTERVIEW")</f>
        <v>INTERVIEW</v>
      </c>
      <c r="H168" s="80" t="s">
        <v>750</v>
      </c>
      <c r="I168" s="80" t="s">
        <v>751</v>
      </c>
      <c r="J168" s="80" t="s">
        <v>613</v>
      </c>
      <c r="K168" s="80"/>
      <c r="L168" s="80"/>
      <c r="M168" s="30"/>
      <c r="N168" s="30"/>
      <c r="O168" s="96" t="str">
        <f>HYPERLINK("https://www.pinterest.nz/pin/640426009488275743/","MEME")</f>
        <v>MEME</v>
      </c>
      <c r="P168" s="81"/>
      <c r="Q168" s="82"/>
    </row>
    <row r="169">
      <c r="A169" s="157">
        <v>42591.0</v>
      </c>
      <c r="B169" s="157"/>
      <c r="C169" s="35" t="s">
        <v>185</v>
      </c>
      <c r="D169" s="35" t="s">
        <v>469</v>
      </c>
      <c r="E169" s="86" t="str">
        <f>HYPERLINK("https://youtu.be/Kp7FkLBRpKg","LINK - YT")</f>
        <v>LINK - YT</v>
      </c>
      <c r="F169" s="87">
        <v>0.08472222222222223</v>
      </c>
      <c r="G169" s="78"/>
      <c r="H169" s="80" t="s">
        <v>752</v>
      </c>
      <c r="I169" s="80" t="s">
        <v>753</v>
      </c>
      <c r="J169" s="80" t="s">
        <v>754</v>
      </c>
      <c r="K169" s="80"/>
      <c r="L169" s="80" t="s">
        <v>755</v>
      </c>
      <c r="M169" s="30"/>
      <c r="N169" s="30"/>
      <c r="O169" s="29"/>
      <c r="P169" s="81"/>
      <c r="Q169" s="82"/>
    </row>
    <row r="170">
      <c r="A170" s="157">
        <v>42588.0</v>
      </c>
      <c r="B170" s="157">
        <v>42588.0</v>
      </c>
      <c r="C170" s="35" t="s">
        <v>185</v>
      </c>
      <c r="D170" s="35" t="s">
        <v>469</v>
      </c>
      <c r="E170" s="86" t="str">
        <f>HYPERLINK("https://youtu.be/tvD6Aal6ZTI","LINK - YT")</f>
        <v>LINK - YT</v>
      </c>
      <c r="F170" s="146" t="s">
        <v>756</v>
      </c>
      <c r="G170" s="78"/>
      <c r="H170" s="80" t="s">
        <v>757</v>
      </c>
      <c r="I170" s="80" t="s">
        <v>758</v>
      </c>
      <c r="J170" s="80" t="s">
        <v>613</v>
      </c>
      <c r="K170" s="80" t="s">
        <v>637</v>
      </c>
      <c r="L170" s="80" t="s">
        <v>759</v>
      </c>
      <c r="M170" s="30"/>
      <c r="N170" s="30"/>
      <c r="O170" s="29"/>
      <c r="P170" s="81"/>
      <c r="Q170" s="82"/>
    </row>
    <row r="171">
      <c r="A171" s="157">
        <v>42588.0</v>
      </c>
      <c r="B171" s="157">
        <v>42588.0</v>
      </c>
      <c r="C171" s="35" t="s">
        <v>185</v>
      </c>
      <c r="D171" s="35" t="s">
        <v>760</v>
      </c>
      <c r="E171" s="86" t="str">
        <f>HYPERLINK("https://youtu.be/1IfrNZfqGsQ","LINK - YT")</f>
        <v>LINK - YT</v>
      </c>
      <c r="F171" s="146" t="s">
        <v>761</v>
      </c>
      <c r="G171" s="122" t="str">
        <f>HYPERLINK("http://temporaryehliss.blogspot.com/2016/11/assange-julian-julian-assange-special.html","Messy TRANSCRIPT")</f>
        <v>Messy TRANSCRIPT</v>
      </c>
      <c r="H171" s="80" t="s">
        <v>762</v>
      </c>
      <c r="I171" s="80"/>
      <c r="J171" s="80" t="s">
        <v>763</v>
      </c>
      <c r="K171" s="80" t="s">
        <v>661</v>
      </c>
      <c r="L171" s="80" t="s">
        <v>764</v>
      </c>
      <c r="M171" s="30"/>
      <c r="N171" s="30"/>
      <c r="O171" s="29"/>
      <c r="P171" s="81"/>
      <c r="Q171" s="82"/>
    </row>
    <row r="172">
      <c r="A172" s="157">
        <v>42576.0</v>
      </c>
      <c r="B172" s="157">
        <v>42576.0</v>
      </c>
      <c r="C172" s="35" t="s">
        <v>185</v>
      </c>
      <c r="D172" s="35" t="s">
        <v>633</v>
      </c>
      <c r="E172" s="86" t="str">
        <f>HYPERLINK("https://youtu.be/axuJfX3cO9Q","LINK - YT")</f>
        <v>LINK - YT</v>
      </c>
      <c r="F172" s="146" t="s">
        <v>765</v>
      </c>
      <c r="G172" s="122" t="str">
        <f>HYPERLINK("https://www.democracynow.org/2016/7/25/exclusive_wikileaks_julian_assange_on_releasing","TRANSCRIPT")</f>
        <v>TRANSCRIPT</v>
      </c>
      <c r="H172" s="80" t="s">
        <v>766</v>
      </c>
      <c r="I172" s="80" t="s">
        <v>767</v>
      </c>
      <c r="J172" s="80" t="s">
        <v>768</v>
      </c>
      <c r="K172" s="80"/>
      <c r="L172" s="80"/>
      <c r="M172" s="30"/>
      <c r="N172" s="30"/>
      <c r="O172" s="29"/>
      <c r="P172" s="81"/>
      <c r="Q172" s="82"/>
    </row>
    <row r="173">
      <c r="A173" s="157">
        <v>42576.0</v>
      </c>
      <c r="B173" s="157">
        <v>42576.0</v>
      </c>
      <c r="C173" s="35" t="s">
        <v>185</v>
      </c>
      <c r="D173" s="35" t="s">
        <v>633</v>
      </c>
      <c r="E173" s="86" t="str">
        <f>HYPERLINK("https://youtu.be/vnWWgKxWvtY","LINK - YT")</f>
        <v>LINK - YT</v>
      </c>
      <c r="F173" s="87">
        <v>0.12152777777777778</v>
      </c>
      <c r="G173" s="122" t="str">
        <f>HYPERLINK("https://www.democracynow.org/2016/7/25/assange_why_i_created_wikileaks_searchable","TRANSCRIPT")</f>
        <v>TRANSCRIPT</v>
      </c>
      <c r="H173" s="80" t="s">
        <v>769</v>
      </c>
      <c r="I173" s="80" t="s">
        <v>770</v>
      </c>
      <c r="J173" s="80" t="s">
        <v>771</v>
      </c>
      <c r="K173" s="80" t="s">
        <v>772</v>
      </c>
      <c r="L173" s="80" t="s">
        <v>773</v>
      </c>
      <c r="M173" s="30"/>
      <c r="N173" s="30"/>
      <c r="O173" s="29"/>
      <c r="P173" s="81"/>
      <c r="Q173" s="82"/>
    </row>
    <row r="174">
      <c r="A174" s="157">
        <v>42576.0</v>
      </c>
      <c r="B174" s="157">
        <v>42576.0</v>
      </c>
      <c r="C174" s="35" t="s">
        <v>185</v>
      </c>
      <c r="D174" s="35" t="s">
        <v>633</v>
      </c>
      <c r="E174" s="86" t="str">
        <f>HYPERLINK("https://youtu.be/f_3Rv-M1nIU","LINK - YT")</f>
        <v>LINK - YT</v>
      </c>
      <c r="F174" s="87">
        <v>0.18541666666666667</v>
      </c>
      <c r="G174" s="122" t="str">
        <f>HYPERLINK("https://www.democracynow.org/2016/7/25/julian_assange_choosing_between_trump_or","TRANSCRIPT")</f>
        <v>TRANSCRIPT</v>
      </c>
      <c r="H174" s="80" t="s">
        <v>774</v>
      </c>
      <c r="I174" s="80"/>
      <c r="J174" s="80" t="s">
        <v>768</v>
      </c>
      <c r="K174" s="80" t="s">
        <v>772</v>
      </c>
      <c r="L174" s="80"/>
      <c r="M174" s="30"/>
      <c r="N174" s="64"/>
      <c r="O174" s="29"/>
      <c r="P174" s="81"/>
      <c r="Q174" s="82"/>
    </row>
    <row r="175">
      <c r="A175" s="161">
        <v>42573.0</v>
      </c>
      <c r="B175" s="161">
        <v>42573.0</v>
      </c>
      <c r="C175" s="162" t="s">
        <v>481</v>
      </c>
      <c r="D175" s="162"/>
      <c r="E175" s="162"/>
      <c r="F175" s="162"/>
      <c r="G175" s="162" t="s">
        <v>608</v>
      </c>
      <c r="H175" s="163" t="s">
        <v>775</v>
      </c>
      <c r="I175" s="162"/>
      <c r="J175" s="162"/>
      <c r="K175" s="162"/>
      <c r="L175" s="162"/>
      <c r="M175" s="162"/>
      <c r="N175" s="164" t="str">
        <f>HYPERLINK("https://wikileaks.org//dnc-emails/","Wikileaks Page")</f>
        <v>Wikileaks Page</v>
      </c>
      <c r="O175" s="162"/>
      <c r="P175" s="162"/>
      <c r="Q175" s="162"/>
      <c r="R175" s="162"/>
      <c r="S175" s="162"/>
      <c r="T175" s="162"/>
      <c r="U175" s="162"/>
      <c r="V175" s="162"/>
      <c r="W175" s="162"/>
      <c r="X175" s="162"/>
      <c r="Y175" s="162"/>
      <c r="Z175" s="162"/>
      <c r="AA175" s="162"/>
      <c r="AB175" s="162"/>
      <c r="AC175" s="162"/>
      <c r="AD175" s="162"/>
      <c r="AE175" s="162"/>
      <c r="AF175" s="162"/>
      <c r="AG175" s="162"/>
    </row>
    <row r="176">
      <c r="A176" s="130">
        <v>42558.0</v>
      </c>
      <c r="B176" s="130">
        <v>42558.0</v>
      </c>
      <c r="C176" s="35" t="s">
        <v>429</v>
      </c>
      <c r="D176" s="35" t="s">
        <v>187</v>
      </c>
      <c r="E176" s="86" t="str">
        <f>HYPERLINK("https://twitter.com/mtracey/status/1100853489792626690","Copy of TWEET")</f>
        <v>Copy of TWEET</v>
      </c>
      <c r="F176" s="154"/>
      <c r="G176" s="78"/>
      <c r="H176" s="133" t="s">
        <v>776</v>
      </c>
      <c r="I176" s="80" t="s">
        <v>777</v>
      </c>
      <c r="J176" s="80"/>
      <c r="K176" s="80"/>
      <c r="L176" s="80"/>
      <c r="M176" s="30"/>
      <c r="N176" s="30"/>
      <c r="O176" s="29"/>
      <c r="P176" s="81"/>
      <c r="Q176" s="82"/>
    </row>
    <row r="177">
      <c r="A177" s="157"/>
      <c r="B177" s="157">
        <v>42558.0</v>
      </c>
      <c r="C177" s="35" t="s">
        <v>429</v>
      </c>
      <c r="D177" s="35" t="s">
        <v>187</v>
      </c>
      <c r="E177" s="36"/>
      <c r="F177" s="154"/>
      <c r="G177" s="78"/>
      <c r="H177" s="80"/>
      <c r="I177" s="80"/>
      <c r="J177" s="80"/>
      <c r="K177" s="80"/>
      <c r="L177" s="80"/>
      <c r="M177" s="30"/>
      <c r="N177" s="30"/>
      <c r="O177" s="29"/>
      <c r="P177" s="81"/>
      <c r="Q177" s="82"/>
    </row>
    <row r="178">
      <c r="A178" s="157">
        <v>42546.0</v>
      </c>
      <c r="B178" s="157">
        <v>42540.0</v>
      </c>
      <c r="C178" s="35" t="s">
        <v>185</v>
      </c>
      <c r="D178" s="35" t="s">
        <v>469</v>
      </c>
      <c r="E178" s="86" t="str">
        <f>HYPERLINK("https://youtu.be/6BROVnNhFWc?t=45m46s","LINK-YT")</f>
        <v>LINK-YT</v>
      </c>
      <c r="F178" s="154">
        <v>0.08953703703703704</v>
      </c>
      <c r="G178" s="78"/>
      <c r="H178" s="80" t="s">
        <v>778</v>
      </c>
      <c r="I178" s="80"/>
      <c r="J178" s="80" t="s">
        <v>779</v>
      </c>
      <c r="K178" s="80" t="s">
        <v>780</v>
      </c>
      <c r="L178" s="80" t="s">
        <v>781</v>
      </c>
      <c r="M178" s="30"/>
      <c r="N178" s="30"/>
      <c r="O178" s="29"/>
      <c r="P178" s="81"/>
      <c r="Q178" s="82"/>
    </row>
    <row r="179">
      <c r="A179" s="157">
        <v>42545.0</v>
      </c>
      <c r="B179" s="157"/>
      <c r="C179" s="35" t="s">
        <v>185</v>
      </c>
      <c r="D179" s="35" t="s">
        <v>469</v>
      </c>
      <c r="E179" s="86" t="str">
        <f>HYPERLINK("https://youtu.be/t145Et02tKo?t=4099","LINK - YT")</f>
        <v>LINK - YT</v>
      </c>
      <c r="F179" s="154">
        <v>0.07262731481481481</v>
      </c>
      <c r="G179" s="78"/>
      <c r="H179" s="80" t="s">
        <v>782</v>
      </c>
      <c r="I179" s="80" t="s">
        <v>783</v>
      </c>
      <c r="J179" s="80" t="s">
        <v>784</v>
      </c>
      <c r="K179" s="80" t="s">
        <v>785</v>
      </c>
      <c r="L179" s="80"/>
      <c r="M179" s="30"/>
      <c r="N179" s="30"/>
      <c r="O179" s="29"/>
      <c r="P179" s="81"/>
      <c r="Q179" s="82"/>
    </row>
    <row r="180">
      <c r="A180" s="157">
        <v>42544.0</v>
      </c>
      <c r="B180" s="157">
        <v>42544.0</v>
      </c>
      <c r="C180" s="35" t="s">
        <v>185</v>
      </c>
      <c r="D180" s="35" t="s">
        <v>469</v>
      </c>
      <c r="E180" s="86" t="str">
        <f>HYPERLINK("https://youtu.be/kASShAK1ksI?t=263","LINK - YT")</f>
        <v>LINK - YT</v>
      </c>
      <c r="F180" s="152" t="s">
        <v>786</v>
      </c>
      <c r="G180" s="151"/>
      <c r="H180" s="149" t="s">
        <v>787</v>
      </c>
      <c r="I180" s="165" t="s">
        <v>788</v>
      </c>
      <c r="J180" s="80" t="s">
        <v>789</v>
      </c>
      <c r="M180" s="30"/>
      <c r="N180" s="36"/>
      <c r="O180" s="91"/>
      <c r="P180" s="81"/>
      <c r="Q180" s="82"/>
    </row>
    <row r="181">
      <c r="A181" s="157">
        <v>43643.0</v>
      </c>
      <c r="B181" s="157">
        <v>42543.0</v>
      </c>
      <c r="C181" s="35" t="s">
        <v>185</v>
      </c>
      <c r="D181" s="35" t="s">
        <v>469</v>
      </c>
      <c r="E181" s="86" t="str">
        <f>HYPERLINK("https://youtu.be/GBX1K22ugDs?t=44m57s","LINK - YT")</f>
        <v>LINK - YT</v>
      </c>
      <c r="F181" s="147">
        <v>0.0565162037037037</v>
      </c>
      <c r="G181" s="151"/>
      <c r="H181" s="149" t="s">
        <v>790</v>
      </c>
      <c r="I181" s="165"/>
      <c r="J181" s="80" t="s">
        <v>791</v>
      </c>
      <c r="K181" s="80"/>
      <c r="L181" s="80"/>
      <c r="M181" s="30"/>
      <c r="N181" s="36"/>
      <c r="O181" s="91"/>
      <c r="P181" s="81"/>
      <c r="Q181" s="82"/>
    </row>
    <row r="182">
      <c r="A182" s="130">
        <v>42533.0</v>
      </c>
      <c r="B182" s="130">
        <v>42533.0</v>
      </c>
      <c r="C182" s="35" t="s">
        <v>185</v>
      </c>
      <c r="D182" s="35" t="s">
        <v>469</v>
      </c>
      <c r="E182" s="86" t="str">
        <f>HYPERLINK("https://www.itv.com/news/update/2016-06-12/assange-on-peston-on-sunday-more-clinton-leaks-to-come/","LINK-ITV")</f>
        <v>LINK-ITV</v>
      </c>
      <c r="F182" s="150"/>
      <c r="G182" s="151"/>
      <c r="H182" s="133" t="s">
        <v>792</v>
      </c>
      <c r="I182" s="149" t="s">
        <v>793</v>
      </c>
      <c r="J182" s="80"/>
      <c r="K182" s="80"/>
      <c r="L182" s="80" t="s">
        <v>794</v>
      </c>
      <c r="M182" s="30"/>
      <c r="N182" s="86" t="str">
        <f>HYPERLINK("https://youtu.be/x7UvbETwpwU","alt LINK - YT")</f>
        <v>alt LINK - YT</v>
      </c>
      <c r="O182" s="91"/>
      <c r="P182" s="81"/>
      <c r="Q182" s="82"/>
    </row>
    <row r="183">
      <c r="A183" s="157">
        <v>42681.0</v>
      </c>
      <c r="B183" s="157">
        <v>42533.0</v>
      </c>
      <c r="C183" s="35" t="s">
        <v>185</v>
      </c>
      <c r="D183" s="35" t="s">
        <v>469</v>
      </c>
      <c r="E183" s="86" t="str">
        <f>HYPERLINK("https://youtu.be/__HRN6eot18","LINK-YT")</f>
        <v>LINK-YT</v>
      </c>
      <c r="F183" s="150">
        <v>0.2861111111111111</v>
      </c>
      <c r="G183" s="151"/>
      <c r="H183" s="149" t="s">
        <v>795</v>
      </c>
      <c r="I183" s="149"/>
      <c r="J183" s="80" t="s">
        <v>796</v>
      </c>
      <c r="K183" s="80"/>
      <c r="L183" s="80"/>
      <c r="M183" s="30"/>
      <c r="N183" s="36"/>
      <c r="O183" s="91"/>
      <c r="P183" s="81"/>
      <c r="Q183" s="82"/>
    </row>
    <row r="184">
      <c r="A184" s="157">
        <v>42528.0</v>
      </c>
      <c r="B184" s="157">
        <v>42528.0</v>
      </c>
      <c r="C184" s="35" t="s">
        <v>185</v>
      </c>
      <c r="D184" s="35" t="s">
        <v>469</v>
      </c>
      <c r="E184" s="118" t="str">
        <f>HYPERLINK("https://youtu.be/33saYOmwaUE","LINK - YT")</f>
        <v>LINK - YT</v>
      </c>
      <c r="F184" s="152" t="s">
        <v>797</v>
      </c>
      <c r="G184" s="151"/>
      <c r="H184" s="149" t="s">
        <v>798</v>
      </c>
      <c r="I184" s="149"/>
      <c r="J184" s="80" t="s">
        <v>613</v>
      </c>
      <c r="K184" s="80" t="s">
        <v>799</v>
      </c>
      <c r="L184" s="80" t="s">
        <v>800</v>
      </c>
      <c r="M184" s="30"/>
      <c r="N184" s="86" t="str">
        <f>HYPERLINK("https://sputniknews.com/society/201606061040835191-new-era-journalism-rossiya/","LINK - Website")</f>
        <v>LINK - Website</v>
      </c>
      <c r="O184" s="96" t="str">
        <f>HYPERLINK("http://americanlookout.com/wikileaks-reveals-google-is-directly-engaged-with-hillarys-campaign-video/","LINK - Website")</f>
        <v>LINK - Website</v>
      </c>
      <c r="P184" s="81"/>
      <c r="Q184" s="82"/>
    </row>
    <row r="185">
      <c r="A185" s="157">
        <v>42470.0</v>
      </c>
      <c r="B185" s="157">
        <v>42470.0</v>
      </c>
      <c r="C185" s="35" t="s">
        <v>185</v>
      </c>
      <c r="D185" s="35" t="s">
        <v>801</v>
      </c>
      <c r="E185" s="118" t="str">
        <f>HYPERLINK("https://youtu.be/rNvWxZ_bhAI","LINK - YT")</f>
        <v>LINK - YT</v>
      </c>
      <c r="F185" s="150">
        <v>0.38333333333333336</v>
      </c>
      <c r="G185" s="151"/>
      <c r="H185" s="149" t="s">
        <v>802</v>
      </c>
      <c r="I185" s="149" t="s">
        <v>803</v>
      </c>
      <c r="J185" s="80" t="s">
        <v>613</v>
      </c>
      <c r="K185" s="80" t="s">
        <v>804</v>
      </c>
      <c r="L185" s="80"/>
      <c r="M185" s="30"/>
      <c r="N185" s="36"/>
      <c r="O185" s="91"/>
      <c r="P185" s="81"/>
      <c r="Q185" s="82"/>
    </row>
    <row r="186">
      <c r="A186" s="166">
        <v>42430.0</v>
      </c>
      <c r="B186" s="160"/>
      <c r="C186" s="35" t="s">
        <v>185</v>
      </c>
      <c r="D186" s="35" t="s">
        <v>801</v>
      </c>
      <c r="E186" s="86" t="str">
        <f>HYPERLINK("https://www.aljazeera.com/programmes/specialseries/2016/03/digital-dissidents-160323141254755.html","LINK - AlJz")</f>
        <v>LINK - AlJz</v>
      </c>
      <c r="F186" s="64"/>
      <c r="G186" s="153"/>
      <c r="H186" s="80" t="s">
        <v>805</v>
      </c>
      <c r="I186" s="80" t="s">
        <v>806</v>
      </c>
      <c r="J186" s="155" t="s">
        <v>807</v>
      </c>
      <c r="K186" s="80"/>
      <c r="L186" s="80"/>
      <c r="M186" s="30"/>
      <c r="N186" s="30"/>
      <c r="O186" s="29"/>
      <c r="P186" s="81"/>
      <c r="Q186" s="82"/>
    </row>
    <row r="187">
      <c r="A187" s="167">
        <v>42445.0</v>
      </c>
      <c r="B187" s="167">
        <v>42445.0</v>
      </c>
      <c r="C187" s="112" t="s">
        <v>481</v>
      </c>
      <c r="D187" s="112"/>
      <c r="E187" s="112"/>
      <c r="F187" s="112"/>
      <c r="G187" s="112"/>
      <c r="H187" s="112" t="s">
        <v>808</v>
      </c>
      <c r="M187" s="112"/>
      <c r="N187" s="168" t="str">
        <f>HYPERLINK("https://wikileaks.org/clinton-emails/","Wikileaks Page")</f>
        <v>Wikileaks Page</v>
      </c>
      <c r="O187" s="112"/>
      <c r="P187" s="112"/>
      <c r="Q187" s="112"/>
      <c r="R187" s="112"/>
      <c r="S187" s="112"/>
      <c r="T187" s="112"/>
      <c r="U187" s="112"/>
      <c r="V187" s="112"/>
      <c r="W187" s="112"/>
      <c r="X187" s="112"/>
      <c r="Y187" s="112"/>
      <c r="Z187" s="112"/>
      <c r="AA187" s="112"/>
      <c r="AB187" s="112"/>
      <c r="AC187" s="112"/>
      <c r="AD187" s="112"/>
      <c r="AE187" s="112"/>
      <c r="AF187" s="112"/>
      <c r="AG187" s="112"/>
    </row>
    <row r="188">
      <c r="A188" s="157">
        <v>42446.0</v>
      </c>
      <c r="B188" s="160" t="s">
        <v>809</v>
      </c>
      <c r="C188" s="35" t="s">
        <v>185</v>
      </c>
      <c r="D188" s="35" t="s">
        <v>469</v>
      </c>
      <c r="E188" s="86" t="str">
        <f>HYPERLINK("https://youtu.be/ic4z5Ztt-5k?t=10m27s","LINK - YT")</f>
        <v>LINK - YT</v>
      </c>
      <c r="F188" s="146" t="s">
        <v>810</v>
      </c>
      <c r="G188" s="153"/>
      <c r="H188" s="80" t="s">
        <v>811</v>
      </c>
      <c r="I188" s="80"/>
      <c r="J188" s="155" t="s">
        <v>812</v>
      </c>
      <c r="K188" s="80"/>
      <c r="L188" s="80"/>
      <c r="M188" s="30"/>
      <c r="N188" s="30"/>
      <c r="O188" s="29"/>
      <c r="P188" s="81"/>
      <c r="Q188" s="82"/>
    </row>
    <row r="189">
      <c r="A189" s="157">
        <v>42410.0</v>
      </c>
      <c r="B189" s="157">
        <v>42409.0</v>
      </c>
      <c r="C189" s="35" t="s">
        <v>185</v>
      </c>
      <c r="D189" s="35" t="s">
        <v>469</v>
      </c>
      <c r="E189" s="86" t="str">
        <f>HYPERLINK("https://youtu.be/HanqooWCVsU","LINK - YT")</f>
        <v>LINK - YT</v>
      </c>
      <c r="F189" s="150">
        <v>0.4236111111111111</v>
      </c>
      <c r="G189" s="153"/>
      <c r="H189" s="80" t="s">
        <v>813</v>
      </c>
      <c r="I189" s="80" t="s">
        <v>814</v>
      </c>
      <c r="J189" s="155" t="s">
        <v>613</v>
      </c>
      <c r="K189" s="80" t="s">
        <v>815</v>
      </c>
      <c r="L189" s="80" t="s">
        <v>816</v>
      </c>
      <c r="M189" s="30"/>
      <c r="N189" s="86" t="str">
        <f>HYPERLINK("https://sg.news.yahoo.com/swedish-prosecutor-vows-assange-london-105517466.html","UNHRC Statement")</f>
        <v>UNHRC Statement</v>
      </c>
      <c r="O189" s="29"/>
      <c r="P189" s="81"/>
      <c r="Q189" s="82"/>
    </row>
    <row r="190">
      <c r="A190" s="157">
        <v>42405.0</v>
      </c>
      <c r="B190" s="159">
        <v>42405.0</v>
      </c>
      <c r="C190" s="35" t="s">
        <v>185</v>
      </c>
      <c r="D190" s="35" t="s">
        <v>469</v>
      </c>
      <c r="E190" s="86" t="str">
        <f>HYPERLINK("https://youtu.be/KhFJSEWyWRw?t=1279","LINK - YT")</f>
        <v>LINK - YT</v>
      </c>
      <c r="F190" s="154">
        <v>0.051412037037037034</v>
      </c>
      <c r="G190" s="153"/>
      <c r="H190" s="80" t="s">
        <v>817</v>
      </c>
      <c r="I190" s="80" t="s">
        <v>818</v>
      </c>
      <c r="J190" s="155" t="s">
        <v>819</v>
      </c>
      <c r="K190" s="80" t="s">
        <v>820</v>
      </c>
      <c r="L190" s="80"/>
      <c r="M190" s="30"/>
      <c r="N190" s="30"/>
      <c r="O190" s="29"/>
      <c r="P190" s="81"/>
      <c r="Q190" s="82"/>
    </row>
    <row r="191">
      <c r="A191" s="169">
        <v>42349.0</v>
      </c>
      <c r="B191" s="169"/>
      <c r="C191" s="35" t="s">
        <v>185</v>
      </c>
      <c r="D191" s="35" t="s">
        <v>821</v>
      </c>
      <c r="E191" s="118" t="str">
        <f>HYPERLINK("https://vimeo.com/148660547#t=1605s","LINK - Vimeo")</f>
        <v>LINK - Vimeo</v>
      </c>
      <c r="F191" s="147">
        <v>0.08643518518518518</v>
      </c>
      <c r="G191" s="151"/>
      <c r="H191" s="149" t="s">
        <v>822</v>
      </c>
      <c r="I191" s="149" t="s">
        <v>823</v>
      </c>
      <c r="J191" s="80" t="s">
        <v>824</v>
      </c>
      <c r="K191" s="80" t="s">
        <v>825</v>
      </c>
      <c r="L191" s="80"/>
      <c r="M191" s="30"/>
      <c r="N191" s="30"/>
      <c r="O191" s="29"/>
      <c r="P191" s="81"/>
      <c r="Q191" s="82"/>
    </row>
    <row r="192">
      <c r="A192" s="169">
        <v>42331.0</v>
      </c>
      <c r="B192" s="169"/>
      <c r="C192" s="35" t="s">
        <v>185</v>
      </c>
      <c r="D192" s="35" t="s">
        <v>469</v>
      </c>
      <c r="E192" s="118" t="str">
        <f>HYPERLINK("https://youtu.be/yjxAArOkoA0?t=1h2m36s","LINK - YT")</f>
        <v>LINK - YT</v>
      </c>
      <c r="F192" s="152" t="s">
        <v>826</v>
      </c>
      <c r="G192" s="151"/>
      <c r="H192" s="149" t="s">
        <v>827</v>
      </c>
      <c r="I192" s="149" t="s">
        <v>828</v>
      </c>
      <c r="J192" s="80" t="s">
        <v>829</v>
      </c>
      <c r="K192" s="80" t="s">
        <v>830</v>
      </c>
      <c r="L192" s="80"/>
      <c r="M192" s="30"/>
      <c r="N192" s="30"/>
      <c r="O192" s="29"/>
      <c r="P192" s="81"/>
      <c r="Q192" s="82"/>
    </row>
    <row r="193">
      <c r="A193" s="169">
        <v>42312.0</v>
      </c>
      <c r="B193" s="169">
        <v>42294.0</v>
      </c>
      <c r="C193" s="35" t="s">
        <v>185</v>
      </c>
      <c r="D193" s="35" t="s">
        <v>469</v>
      </c>
      <c r="E193" s="118" t="str">
        <f>HYPERLINK("https://youtu.be/gVGf9EV55aY?t=1714","LINK - YT")</f>
        <v>LINK - YT</v>
      </c>
      <c r="F193" s="147">
        <v>0.05915509259259259</v>
      </c>
      <c r="G193" s="151"/>
      <c r="H193" s="149" t="s">
        <v>831</v>
      </c>
      <c r="I193" s="149" t="s">
        <v>832</v>
      </c>
      <c r="J193" s="80"/>
      <c r="K193" s="80" t="s">
        <v>833</v>
      </c>
      <c r="L193" s="165" t="s">
        <v>834</v>
      </c>
      <c r="M193" s="30"/>
      <c r="N193" s="36"/>
      <c r="O193" s="29"/>
      <c r="P193" s="81"/>
      <c r="Q193" s="82"/>
    </row>
    <row r="194">
      <c r="A194" s="169">
        <v>42286.0</v>
      </c>
      <c r="B194" s="169"/>
      <c r="C194" s="35" t="s">
        <v>671</v>
      </c>
      <c r="D194" s="35" t="s">
        <v>835</v>
      </c>
      <c r="E194" s="118" t="str">
        <f>HYPERLINK("http://podcast.radionz.co.nz/ntn/ntn-20151008-0910-julian_assange_the_wikileaks_files-048.mp3","LINK")</f>
        <v>LINK</v>
      </c>
      <c r="F194" s="150">
        <v>0.9784722222222222</v>
      </c>
      <c r="G194" s="148" t="str">
        <f>HYPERLINK("http://theinfounderground.com/smf/index.php?topic=19925.0","TRANSCRIPT (partial)")</f>
        <v>TRANSCRIPT (partial)</v>
      </c>
      <c r="H194" s="149" t="s">
        <v>836</v>
      </c>
      <c r="I194" s="149" t="s">
        <v>837</v>
      </c>
      <c r="J194" s="80" t="s">
        <v>754</v>
      </c>
      <c r="K194" s="80" t="s">
        <v>838</v>
      </c>
      <c r="L194" s="80"/>
      <c r="M194" s="30"/>
      <c r="N194" s="86" t="str">
        <f>HYPERLINK("https://sputniknews.com/us/201510081028223233-us-lawfare-julian-assange/","Sputnik article")</f>
        <v>Sputnik article</v>
      </c>
      <c r="O194" s="29"/>
      <c r="P194" s="81"/>
      <c r="Q194" s="82"/>
    </row>
    <row r="195">
      <c r="A195" s="169">
        <v>42283.0</v>
      </c>
      <c r="B195" s="169">
        <v>42282.0</v>
      </c>
      <c r="C195" s="35" t="s">
        <v>185</v>
      </c>
      <c r="D195" s="35" t="s">
        <v>469</v>
      </c>
      <c r="E195" s="118" t="str">
        <f>HYPERLINK("https://youtu.be/3xKtNNOV0Cs?t=53","LINK")</f>
        <v>LINK</v>
      </c>
      <c r="F195" s="170">
        <v>1.476388888888889</v>
      </c>
      <c r="G195" s="151"/>
      <c r="H195" s="149" t="s">
        <v>839</v>
      </c>
      <c r="I195" s="149" t="s">
        <v>840</v>
      </c>
      <c r="J195" s="80" t="s">
        <v>841</v>
      </c>
      <c r="K195" s="80" t="s">
        <v>842</v>
      </c>
      <c r="L195" s="80"/>
      <c r="M195" s="30"/>
      <c r="N195" s="30"/>
      <c r="O195" s="29"/>
      <c r="P195" s="81"/>
      <c r="Q195" s="82"/>
    </row>
    <row r="196">
      <c r="A196" s="169">
        <v>42295.0</v>
      </c>
      <c r="B196" s="169">
        <v>42277.0</v>
      </c>
      <c r="C196" s="35" t="s">
        <v>185</v>
      </c>
      <c r="D196" s="35" t="s">
        <v>469</v>
      </c>
      <c r="E196" s="118" t="str">
        <f>HYPERLINK("https://youtu.be/9uYm-x6h-po?t=659","LINK - YT")</f>
        <v>LINK - YT</v>
      </c>
      <c r="F196" s="152" t="s">
        <v>843</v>
      </c>
      <c r="G196" s="151"/>
      <c r="H196" s="149" t="s">
        <v>844</v>
      </c>
      <c r="I196" s="149" t="s">
        <v>845</v>
      </c>
      <c r="J196" s="80" t="s">
        <v>846</v>
      </c>
      <c r="K196" s="80" t="s">
        <v>833</v>
      </c>
      <c r="L196" s="80"/>
      <c r="M196" s="30"/>
      <c r="N196" s="86" t="str">
        <f>HYPERLINK("https://www.wheelercentre.com/broadcasts/julian-assange","Wheeler Centre")</f>
        <v>Wheeler Centre</v>
      </c>
      <c r="O196" s="29"/>
      <c r="P196" s="81"/>
      <c r="Q196" s="82"/>
    </row>
    <row r="197">
      <c r="A197" s="169">
        <v>42256.0</v>
      </c>
      <c r="B197" s="169"/>
      <c r="C197" s="35" t="s">
        <v>185</v>
      </c>
      <c r="D197" s="35" t="s">
        <v>469</v>
      </c>
      <c r="E197" s="118" t="str">
        <f>HYPERLINK("https://youtu.be/W3HWiydFlJc","LINK - YT")</f>
        <v>LINK - YT</v>
      </c>
      <c r="F197" s="152" t="s">
        <v>847</v>
      </c>
      <c r="G197" s="53"/>
      <c r="H197" s="149" t="s">
        <v>848</v>
      </c>
      <c r="I197" s="149" t="s">
        <v>849</v>
      </c>
      <c r="J197" s="80" t="s">
        <v>763</v>
      </c>
      <c r="K197" s="80"/>
      <c r="L197" s="80"/>
      <c r="M197" s="30"/>
      <c r="N197" s="36"/>
      <c r="O197" s="91"/>
      <c r="P197" s="81"/>
      <c r="Q197" s="82"/>
    </row>
    <row r="198">
      <c r="A198" s="169">
        <v>42267.0</v>
      </c>
      <c r="B198" s="169">
        <v>42255.0</v>
      </c>
      <c r="C198" s="35"/>
      <c r="D198" s="35" t="s">
        <v>469</v>
      </c>
      <c r="E198" s="118" t="str">
        <f>HYPERLINK("https://youtu.be/YHslwimdq98","LINK - YT")</f>
        <v>LINK - YT</v>
      </c>
      <c r="F198" s="152" t="s">
        <v>850</v>
      </c>
      <c r="G198" s="53"/>
      <c r="H198" s="149" t="s">
        <v>851</v>
      </c>
      <c r="I198" s="149" t="s">
        <v>852</v>
      </c>
      <c r="J198" s="80" t="s">
        <v>853</v>
      </c>
      <c r="K198" s="80"/>
      <c r="L198" s="80"/>
      <c r="M198" s="30"/>
      <c r="N198" s="86" t="str">
        <f>HYPERLINK("https://www.versobooks.com/events/1200-julian-assange-in-conversation-with-jeremy-scahill","VERSO")</f>
        <v>VERSO</v>
      </c>
      <c r="O198" s="91"/>
      <c r="P198" s="81"/>
      <c r="Q198" s="82"/>
    </row>
    <row r="199">
      <c r="A199" s="169">
        <v>42234.0</v>
      </c>
      <c r="B199" s="169"/>
      <c r="C199" s="35" t="s">
        <v>185</v>
      </c>
      <c r="D199" s="35" t="s">
        <v>469</v>
      </c>
      <c r="E199" s="118" t="str">
        <f>HYPERLINK("https://youtu.be/Rw7P0RGZQxQ","LINK - YT")</f>
        <v>LINK - YT</v>
      </c>
      <c r="F199" s="150">
        <v>0.3486111111111111</v>
      </c>
      <c r="G199" s="53"/>
      <c r="H199" s="149" t="s">
        <v>854</v>
      </c>
      <c r="I199" s="149" t="s">
        <v>855</v>
      </c>
      <c r="J199" s="80" t="s">
        <v>856</v>
      </c>
      <c r="K199" s="80"/>
      <c r="L199" s="80" t="s">
        <v>857</v>
      </c>
      <c r="M199" s="30"/>
      <c r="N199" s="36"/>
      <c r="O199" s="91"/>
      <c r="P199" s="81"/>
      <c r="Q199" s="82"/>
    </row>
    <row r="200">
      <c r="A200" s="169">
        <v>42205.0</v>
      </c>
      <c r="B200" s="169"/>
      <c r="C200" s="35" t="s">
        <v>245</v>
      </c>
      <c r="D200" s="35" t="s">
        <v>858</v>
      </c>
      <c r="E200" s="53"/>
      <c r="F200" s="171"/>
      <c r="G200" s="118" t="str">
        <f>HYPERLINK("http://www.spiegel.de/international/world/spiegel-interview-with-wikileaks-head-julian-assange-a-1044399.html","LINK - Spiegel")</f>
        <v>LINK - Spiegel</v>
      </c>
      <c r="H200" s="149" t="s">
        <v>859</v>
      </c>
      <c r="I200" s="149"/>
      <c r="J200" s="80" t="s">
        <v>860</v>
      </c>
      <c r="K200" s="80"/>
      <c r="L200" s="80"/>
      <c r="M200" s="30"/>
      <c r="N200" s="36"/>
      <c r="O200" s="91"/>
      <c r="P200" s="81"/>
      <c r="Q200" s="82"/>
    </row>
    <row r="201">
      <c r="A201" s="172">
        <v>42170.0</v>
      </c>
      <c r="B201" s="169"/>
      <c r="C201" s="35" t="s">
        <v>185</v>
      </c>
      <c r="D201" s="35" t="s">
        <v>469</v>
      </c>
      <c r="E201" s="118" t="str">
        <f>HYPERLINK("https://youtu.be/tWuFMNTSxks","LINK - YT")</f>
        <v>LINK - YT</v>
      </c>
      <c r="F201" s="150">
        <v>0.8333333333333334</v>
      </c>
      <c r="G201" s="151"/>
      <c r="H201" s="149" t="s">
        <v>861</v>
      </c>
      <c r="I201" s="149" t="s">
        <v>862</v>
      </c>
      <c r="J201" s="80" t="s">
        <v>863</v>
      </c>
      <c r="K201" s="80" t="s">
        <v>275</v>
      </c>
      <c r="L201" s="80"/>
      <c r="M201" s="30"/>
      <c r="N201" s="36"/>
      <c r="O201" s="91"/>
      <c r="P201" s="81"/>
      <c r="Q201" s="82"/>
    </row>
    <row r="202">
      <c r="A202" s="169">
        <v>42195.0</v>
      </c>
      <c r="B202" s="169"/>
      <c r="C202" s="35" t="s">
        <v>245</v>
      </c>
      <c r="D202" s="35" t="s">
        <v>864</v>
      </c>
      <c r="E202" s="53"/>
      <c r="F202" s="171"/>
      <c r="G202" s="148" t="str">
        <f>HYPERLINK("https://www.huffingtonpost.com/entry/julian-assange-its-quite-_b_7771010.html","LINK - HuffPo")</f>
        <v>LINK - HuffPo</v>
      </c>
      <c r="H202" s="149" t="s">
        <v>865</v>
      </c>
      <c r="I202" s="149"/>
      <c r="J202" s="80"/>
      <c r="K202" s="80"/>
      <c r="L202" s="80"/>
      <c r="M202" s="30"/>
      <c r="N202" s="36"/>
      <c r="O202" s="91"/>
      <c r="P202" s="81"/>
      <c r="Q202" s="82"/>
    </row>
    <row r="203">
      <c r="A203" s="169">
        <v>42190.0</v>
      </c>
      <c r="B203" s="169"/>
      <c r="C203" s="35" t="s">
        <v>245</v>
      </c>
      <c r="D203" s="132" t="s">
        <v>866</v>
      </c>
      <c r="E203" s="53"/>
      <c r="F203" s="171"/>
      <c r="G203" s="148" t="str">
        <f>HYPERLINK("https://theconversation.com/julian-assange-on-google-surveillance-and-predatory-capitalism-43176","Link - Conversation")</f>
        <v>Link - Conversation</v>
      </c>
      <c r="H203" s="149" t="s">
        <v>867</v>
      </c>
      <c r="I203" s="149" t="s">
        <v>868</v>
      </c>
      <c r="J203" s="80" t="s">
        <v>869</v>
      </c>
      <c r="K203" s="80"/>
      <c r="L203" s="80"/>
      <c r="M203" s="30"/>
      <c r="N203" s="36"/>
      <c r="O203" s="91"/>
      <c r="P203" s="81"/>
      <c r="Q203" s="82"/>
    </row>
    <row r="204">
      <c r="A204" s="169">
        <v>42180.0</v>
      </c>
      <c r="B204" s="169"/>
      <c r="C204" s="35" t="s">
        <v>245</v>
      </c>
      <c r="D204" s="35" t="s">
        <v>864</v>
      </c>
      <c r="E204" s="53"/>
      <c r="F204" s="171"/>
      <c r="G204" s="148" t="str">
        <f>HYPERLINK("https://www.huffingtonpost.com/seungyoon-lee/julian-assange-media-censorship_b_7666654.html","LINK - HuffPo")</f>
        <v>LINK - HuffPo</v>
      </c>
      <c r="H204" s="173" t="s">
        <v>870</v>
      </c>
      <c r="I204" s="149"/>
      <c r="J204" s="80" t="s">
        <v>871</v>
      </c>
      <c r="K204" s="80"/>
      <c r="L204" s="80"/>
      <c r="M204" s="30"/>
      <c r="N204" s="30"/>
      <c r="O204" s="29"/>
      <c r="P204" s="81"/>
      <c r="Q204" s="82"/>
    </row>
    <row r="205">
      <c r="A205" s="169">
        <v>42166.0</v>
      </c>
      <c r="B205" s="169"/>
      <c r="C205" s="35" t="s">
        <v>245</v>
      </c>
      <c r="D205" s="35" t="s">
        <v>864</v>
      </c>
      <c r="E205" s="53"/>
      <c r="F205" s="171"/>
      <c r="G205" s="148" t="str">
        <f>HYPERLINK("https://www.huffingtonpost.com/seungyoon-lee/julian-assange_1_b_7560710.html?/clear","LINK - HuffPo")</f>
        <v>LINK - HuffPo</v>
      </c>
      <c r="H205" s="149" t="s">
        <v>872</v>
      </c>
      <c r="I205" s="149"/>
      <c r="J205" s="80"/>
      <c r="K205" s="80"/>
      <c r="L205" s="80"/>
      <c r="M205" s="30"/>
      <c r="N205" s="30"/>
      <c r="O205" s="29"/>
      <c r="P205" s="81"/>
      <c r="Q205" s="82"/>
    </row>
    <row r="207">
      <c r="A207" s="169">
        <v>42151.0</v>
      </c>
      <c r="B207" s="169" t="s">
        <v>873</v>
      </c>
      <c r="C207" s="35" t="s">
        <v>185</v>
      </c>
      <c r="D207" s="35" t="s">
        <v>633</v>
      </c>
      <c r="E207" s="118" t="str">
        <f>HYPERLINK("https://www.democracynow.org/shows/2015/5/27","LINK - DN")</f>
        <v>LINK - DN</v>
      </c>
      <c r="F207" s="171">
        <v>58.56</v>
      </c>
      <c r="G207" s="151"/>
      <c r="H207" s="174" t="s">
        <v>874</v>
      </c>
      <c r="I207" s="149"/>
      <c r="J207" s="80" t="s">
        <v>875</v>
      </c>
      <c r="K207" s="80" t="s">
        <v>661</v>
      </c>
      <c r="L207" s="80"/>
      <c r="M207" s="30"/>
      <c r="N207" s="30"/>
      <c r="O207" s="29"/>
      <c r="P207" s="81"/>
      <c r="Q207" s="82"/>
    </row>
    <row r="208">
      <c r="A208" s="169">
        <v>42151.0</v>
      </c>
      <c r="B208" s="169" t="s">
        <v>873</v>
      </c>
      <c r="C208" s="35" t="s">
        <v>185</v>
      </c>
      <c r="D208" s="35" t="s">
        <v>633</v>
      </c>
      <c r="E208" s="36"/>
      <c r="F208" s="64"/>
      <c r="G208" s="175" t="str">
        <f>HYPERLINK("https://www.democracynow.org/2015/5/27/julian_assange_despite_congressional_standoff_nsa#transcript","TRANSCRIPT")</f>
        <v>TRANSCRIPT</v>
      </c>
      <c r="H208" s="176" t="s">
        <v>876</v>
      </c>
      <c r="I208" s="80"/>
      <c r="J208" s="80" t="s">
        <v>875</v>
      </c>
      <c r="K208" s="80" t="s">
        <v>661</v>
      </c>
      <c r="L208" s="80" t="s">
        <v>877</v>
      </c>
      <c r="M208" s="30"/>
      <c r="N208" s="30"/>
      <c r="O208" s="29"/>
      <c r="P208" s="81"/>
      <c r="Q208" s="82"/>
    </row>
    <row r="209">
      <c r="A209" s="169">
        <v>42151.0</v>
      </c>
      <c r="B209" s="169" t="s">
        <v>873</v>
      </c>
      <c r="C209" s="35" t="s">
        <v>185</v>
      </c>
      <c r="D209" s="35" t="s">
        <v>633</v>
      </c>
      <c r="E209" s="36"/>
      <c r="F209" s="64"/>
      <c r="G209" s="175" t="str">
        <f>HYPERLINK("https://www.democracynow.org/2015/5/27/julian_assange_on_the_trans_pacific","TRANSCRIPT")</f>
        <v>TRANSCRIPT</v>
      </c>
      <c r="H209" s="176" t="s">
        <v>878</v>
      </c>
      <c r="I209" s="80"/>
      <c r="J209" s="80" t="s">
        <v>875</v>
      </c>
      <c r="K209" s="80" t="s">
        <v>661</v>
      </c>
      <c r="L209" s="80" t="s">
        <v>879</v>
      </c>
      <c r="M209" s="30"/>
      <c r="N209" s="30"/>
      <c r="O209" s="29"/>
      <c r="P209" s="81"/>
      <c r="Q209" s="82"/>
    </row>
    <row r="210">
      <c r="A210" s="169">
        <v>42151.0</v>
      </c>
      <c r="B210" s="169" t="s">
        <v>873</v>
      </c>
      <c r="C210" s="35" t="s">
        <v>185</v>
      </c>
      <c r="D210" s="35" t="s">
        <v>633</v>
      </c>
      <c r="E210" s="36"/>
      <c r="F210" s="64"/>
      <c r="G210" s="175" t="str">
        <f>HYPERLINK("https://www.democracynow.org/2015/5/27/julian_assange_british_nuclear_sub_whistleblower","TRANSCRIPT")</f>
        <v>TRANSCRIPT</v>
      </c>
      <c r="H210" s="176" t="s">
        <v>880</v>
      </c>
      <c r="I210" s="80"/>
      <c r="J210" s="80" t="s">
        <v>875</v>
      </c>
      <c r="K210" s="80" t="s">
        <v>661</v>
      </c>
      <c r="L210" s="80" t="s">
        <v>881</v>
      </c>
      <c r="M210" s="30"/>
      <c r="N210" s="30"/>
      <c r="O210" s="29"/>
      <c r="P210" s="81"/>
      <c r="Q210" s="82"/>
    </row>
    <row r="211">
      <c r="A211" s="169">
        <v>42151.0</v>
      </c>
      <c r="B211" s="169" t="s">
        <v>873</v>
      </c>
      <c r="C211" s="35" t="s">
        <v>185</v>
      </c>
      <c r="D211" s="35" t="s">
        <v>633</v>
      </c>
      <c r="E211" s="36"/>
      <c r="F211" s="64"/>
      <c r="G211" s="175" t="str">
        <f>HYPERLINK("https://www.democracynow.org/2015/5/27/wikileaks_julian_assange_on_europes_secret","TRANSCRIPT")</f>
        <v>TRANSCRIPT</v>
      </c>
      <c r="H211" s="176" t="s">
        <v>882</v>
      </c>
      <c r="I211" s="80"/>
      <c r="J211" s="80" t="s">
        <v>875</v>
      </c>
      <c r="K211" s="80" t="s">
        <v>661</v>
      </c>
      <c r="L211" s="80" t="s">
        <v>883</v>
      </c>
      <c r="M211" s="30"/>
      <c r="N211" s="30"/>
      <c r="O211" s="29"/>
      <c r="P211" s="81"/>
      <c r="Q211" s="82"/>
    </row>
    <row r="212">
      <c r="A212" s="169">
        <v>42151.0</v>
      </c>
      <c r="B212" s="169" t="s">
        <v>873</v>
      </c>
      <c r="C212" s="35" t="s">
        <v>185</v>
      </c>
      <c r="D212" s="35" t="s">
        <v>633</v>
      </c>
      <c r="E212" s="36"/>
      <c r="F212" s="64"/>
      <c r="G212" s="175" t="str">
        <f>HYPERLINK("https://www.democracynow.org/2015/5/27/as_julian_assange_faces_swedish_legal","TRANSCRIPT")</f>
        <v>TRANSCRIPT</v>
      </c>
      <c r="H212" s="176" t="s">
        <v>884</v>
      </c>
      <c r="I212" s="80"/>
      <c r="J212" s="80" t="s">
        <v>875</v>
      </c>
      <c r="K212" s="80" t="s">
        <v>661</v>
      </c>
      <c r="L212" s="80" t="s">
        <v>885</v>
      </c>
      <c r="M212" s="30"/>
      <c r="N212" s="30"/>
      <c r="O212" s="29"/>
      <c r="P212" s="81"/>
      <c r="Q212" s="82"/>
    </row>
    <row r="213">
      <c r="A213" s="169">
        <v>42152.0</v>
      </c>
      <c r="B213" s="169" t="s">
        <v>873</v>
      </c>
      <c r="C213" s="35" t="s">
        <v>185</v>
      </c>
      <c r="D213" s="177" t="s">
        <v>469</v>
      </c>
      <c r="E213" s="118" t="str">
        <f>HYPERLINK("https://www.democracynow.org/shows/2015/5/28?autostart=true","LINK - DN")</f>
        <v>LINK - DN</v>
      </c>
      <c r="F213" s="152" t="s">
        <v>886</v>
      </c>
      <c r="G213" s="151"/>
      <c r="H213" s="149" t="s">
        <v>887</v>
      </c>
      <c r="I213" s="149"/>
      <c r="J213" s="80" t="s">
        <v>875</v>
      </c>
      <c r="K213" s="80" t="s">
        <v>661</v>
      </c>
      <c r="L213" s="79"/>
      <c r="M213" s="30"/>
      <c r="N213" s="30"/>
      <c r="O213" s="29"/>
      <c r="P213" s="81"/>
      <c r="Q213" s="82"/>
    </row>
    <row r="214">
      <c r="A214" s="169">
        <v>42152.0</v>
      </c>
      <c r="B214" s="169" t="s">
        <v>873</v>
      </c>
      <c r="C214" s="35" t="s">
        <v>185</v>
      </c>
      <c r="D214" s="35" t="s">
        <v>469</v>
      </c>
      <c r="E214" s="36"/>
      <c r="F214" s="64"/>
      <c r="G214" s="175" t="str">
        <f>HYPERLINK("https://www.democracynow.org/shows/2015/5/28?autostart=true","TRANSCRIPT")</f>
        <v>TRANSCRIPT</v>
      </c>
      <c r="H214" s="176" t="s">
        <v>888</v>
      </c>
      <c r="I214" s="80" t="s">
        <v>889</v>
      </c>
      <c r="J214" s="80" t="s">
        <v>875</v>
      </c>
      <c r="K214" s="80" t="s">
        <v>661</v>
      </c>
      <c r="L214" s="79"/>
      <c r="M214" s="30"/>
      <c r="N214" s="30"/>
      <c r="O214" s="29"/>
      <c r="P214" s="81"/>
      <c r="Q214" s="82"/>
    </row>
    <row r="215">
      <c r="A215" s="169">
        <v>42152.0</v>
      </c>
      <c r="B215" s="169" t="s">
        <v>873</v>
      </c>
      <c r="C215" s="35" t="s">
        <v>185</v>
      </c>
      <c r="D215" s="35" t="s">
        <v>469</v>
      </c>
      <c r="E215" s="36"/>
      <c r="F215" s="64"/>
      <c r="G215" s="175" t="str">
        <f>HYPERLINK("https://www.democracynow.org/2015/5/28/the_kill_list_icwatch_uses_linkedin","TRANSCRIPT")</f>
        <v>TRANSCRIPT</v>
      </c>
      <c r="H215" s="176" t="s">
        <v>890</v>
      </c>
      <c r="I215" s="80" t="s">
        <v>891</v>
      </c>
      <c r="J215" s="80" t="s">
        <v>875</v>
      </c>
      <c r="K215" s="80" t="s">
        <v>661</v>
      </c>
      <c r="L215" s="79"/>
      <c r="M215" s="30"/>
      <c r="N215" s="30"/>
      <c r="O215" s="29"/>
      <c r="P215" s="81"/>
      <c r="Q215" s="82"/>
    </row>
    <row r="216">
      <c r="A216" s="169">
        <v>42152.0</v>
      </c>
      <c r="B216" s="169" t="s">
        <v>873</v>
      </c>
      <c r="C216" s="35" t="s">
        <v>185</v>
      </c>
      <c r="D216" s="35" t="s">
        <v>469</v>
      </c>
      <c r="E216" s="36"/>
      <c r="F216" s="64"/>
      <c r="G216" s="175" t="str">
        <f>HYPERLINK("https://www.democracynow.org/2015/5/28/pretrial_punishment_julian_assange_remains_in#transcript","TRANSCRIPT")</f>
        <v>TRANSCRIPT</v>
      </c>
      <c r="H216" s="176" t="s">
        <v>892</v>
      </c>
      <c r="I216" s="80" t="s">
        <v>893</v>
      </c>
      <c r="J216" s="80" t="s">
        <v>875</v>
      </c>
      <c r="K216" s="80" t="s">
        <v>661</v>
      </c>
      <c r="L216" s="79"/>
      <c r="M216" s="30"/>
      <c r="N216" s="30"/>
      <c r="O216" s="29"/>
      <c r="P216" s="81"/>
      <c r="Q216" s="82"/>
    </row>
    <row r="217">
      <c r="A217" s="169">
        <v>42152.0</v>
      </c>
      <c r="B217" s="169" t="s">
        <v>873</v>
      </c>
      <c r="C217" s="35" t="s">
        <v>185</v>
      </c>
      <c r="D217" s="35" t="s">
        <v>469</v>
      </c>
      <c r="E217" s="86" t="str">
        <f>HYPERLINK("https://youtu.be/gYBgdiCZmNw","LINK - YT")</f>
        <v>LINK - YT</v>
      </c>
      <c r="F217" s="64"/>
      <c r="G217" s="175" t="str">
        <f>HYPERLINK("https://www.democracynow.org/2015/5/28/assange_on_the_untold_story_of","TRANSCRIPT")</f>
        <v>TRANSCRIPT</v>
      </c>
      <c r="H217" s="176" t="s">
        <v>894</v>
      </c>
      <c r="I217" s="80" t="s">
        <v>895</v>
      </c>
      <c r="J217" s="80" t="s">
        <v>875</v>
      </c>
      <c r="K217" s="80" t="s">
        <v>661</v>
      </c>
      <c r="L217" s="79"/>
      <c r="M217" s="30"/>
      <c r="N217" s="30"/>
      <c r="O217" s="29"/>
      <c r="P217" s="81"/>
      <c r="Q217" s="82"/>
    </row>
    <row r="218">
      <c r="A218" s="169">
        <v>42120.0</v>
      </c>
      <c r="B218" s="169">
        <v>42109.0</v>
      </c>
      <c r="C218" s="35" t="s">
        <v>185</v>
      </c>
      <c r="D218" s="35" t="s">
        <v>469</v>
      </c>
      <c r="E218" s="86" t="str">
        <f>HYPERLINK("https://youtu.be/C7DvfcrrlFU?t=3m2s","LINK - YT")</f>
        <v>LINK - YT</v>
      </c>
      <c r="F218" s="146" t="s">
        <v>896</v>
      </c>
      <c r="G218" s="178"/>
      <c r="H218" s="176" t="s">
        <v>897</v>
      </c>
      <c r="I218" s="80"/>
      <c r="J218" s="80" t="s">
        <v>898</v>
      </c>
      <c r="K218" s="80" t="s">
        <v>899</v>
      </c>
      <c r="L218" s="80"/>
      <c r="M218" s="30"/>
      <c r="N218" s="30"/>
      <c r="O218" s="29"/>
      <c r="P218" s="81"/>
      <c r="Q218" s="82"/>
    </row>
    <row r="219">
      <c r="A219" s="169">
        <v>42150.0</v>
      </c>
      <c r="B219" s="169">
        <v>42086.0</v>
      </c>
      <c r="C219" s="35" t="s">
        <v>185</v>
      </c>
      <c r="D219" s="35" t="s">
        <v>469</v>
      </c>
      <c r="E219" s="118" t="str">
        <f>HYPERLINK("https://youtu.be/8Kvc5HxNDIU?t=1h00m07s","LINK - YT")</f>
        <v>LINK - YT</v>
      </c>
      <c r="F219" s="147">
        <v>0.08296296296296296</v>
      </c>
      <c r="G219" s="151"/>
      <c r="H219" s="149" t="s">
        <v>900</v>
      </c>
      <c r="I219" s="149"/>
      <c r="J219" s="80" t="s">
        <v>901</v>
      </c>
      <c r="K219" s="179" t="s">
        <v>902</v>
      </c>
      <c r="L219" s="80" t="s">
        <v>903</v>
      </c>
      <c r="M219" s="30"/>
      <c r="N219" s="86" t="str">
        <f>HYPERLINK("https://westernpersecution.splashthat.com/","UN Program")</f>
        <v>UN Program</v>
      </c>
      <c r="O219" s="96" t="str">
        <f>HYPERLINK("https://newspunch.com/u-n-event-are-western-whistleblowers-new-class-of-persecuted-people/","Article")</f>
        <v>Article</v>
      </c>
      <c r="P219" s="81"/>
      <c r="Q219" s="82"/>
    </row>
    <row r="220">
      <c r="A220" s="169">
        <v>42079.0</v>
      </c>
      <c r="B220" s="169">
        <v>42065.0</v>
      </c>
      <c r="C220" s="35" t="s">
        <v>185</v>
      </c>
      <c r="D220" s="35" t="s">
        <v>469</v>
      </c>
      <c r="E220" s="86" t="str">
        <f>HYPERLINK("https://youtu.be/-jtveshuX_U","LINK - YT")</f>
        <v>LINK - YT</v>
      </c>
      <c r="F220" s="87">
        <v>1.020138888888889</v>
      </c>
      <c r="G220" s="178"/>
      <c r="H220" s="176" t="s">
        <v>904</v>
      </c>
      <c r="I220" s="80"/>
      <c r="J220" s="80" t="s">
        <v>905</v>
      </c>
      <c r="K220" s="80" t="s">
        <v>614</v>
      </c>
      <c r="L220" s="80" t="s">
        <v>906</v>
      </c>
      <c r="M220" s="30"/>
      <c r="N220" s="30"/>
      <c r="O220" s="29"/>
      <c r="P220" s="81"/>
      <c r="Q220" s="82"/>
    </row>
    <row r="221">
      <c r="A221" s="169">
        <v>42075.0</v>
      </c>
      <c r="B221" s="169"/>
      <c r="C221" s="35" t="s">
        <v>185</v>
      </c>
      <c r="D221" s="35" t="s">
        <v>907</v>
      </c>
      <c r="E221" s="86" t="str">
        <f>HYPERLINK("https://vimeo.com/122020098","LINK - VIMEO")</f>
        <v>LINK - VIMEO</v>
      </c>
      <c r="F221" s="146" t="s">
        <v>908</v>
      </c>
      <c r="G221" s="178"/>
      <c r="H221" s="176" t="s">
        <v>909</v>
      </c>
      <c r="I221" s="80" t="s">
        <v>910</v>
      </c>
      <c r="J221" s="80" t="s">
        <v>613</v>
      </c>
      <c r="K221" s="80" t="s">
        <v>911</v>
      </c>
      <c r="L221" s="80"/>
      <c r="M221" s="30"/>
      <c r="N221" s="30"/>
      <c r="O221" s="29"/>
      <c r="P221" s="81"/>
      <c r="Q221" s="82"/>
    </row>
    <row r="222">
      <c r="A222" s="169">
        <v>42065.0</v>
      </c>
      <c r="B222" s="169">
        <v>42065.0</v>
      </c>
      <c r="C222" s="35" t="s">
        <v>185</v>
      </c>
      <c r="D222" s="35" t="s">
        <v>469</v>
      </c>
      <c r="E222" s="86" t="str">
        <f>HYPERLINK("https://youtu.be/rhbnI5kCZFA","LINK - YT")</f>
        <v>LINK - YT</v>
      </c>
      <c r="F222" s="87">
        <v>0.1875</v>
      </c>
      <c r="G222" s="178"/>
      <c r="H222" s="176" t="s">
        <v>912</v>
      </c>
      <c r="I222" s="80"/>
      <c r="J222" s="80" t="s">
        <v>905</v>
      </c>
      <c r="K222" s="80"/>
      <c r="L222" s="80" t="s">
        <v>913</v>
      </c>
      <c r="M222" s="30"/>
      <c r="N222" s="30"/>
      <c r="O222" s="29"/>
      <c r="P222" s="81"/>
      <c r="Q222" s="82"/>
    </row>
    <row r="223">
      <c r="A223" s="180">
        <v>41977.0</v>
      </c>
      <c r="B223" s="180"/>
      <c r="C223" s="35" t="s">
        <v>245</v>
      </c>
      <c r="D223" s="35" t="s">
        <v>914</v>
      </c>
      <c r="E223" s="36"/>
      <c r="F223" s="87"/>
      <c r="G223" s="122" t="str">
        <f>HYPERLINK("https://www.nytimes.com/2014/12/04/opinion/julian-assange-on-living-in-a-surveillance-society.html","ARTICLE")</f>
        <v>ARTICLE</v>
      </c>
      <c r="H223" s="80" t="s">
        <v>915</v>
      </c>
      <c r="I223" s="80"/>
      <c r="J223" s="80" t="s">
        <v>613</v>
      </c>
      <c r="K223" s="80"/>
      <c r="L223" s="80"/>
      <c r="M223" s="30"/>
      <c r="N223" s="36"/>
      <c r="O223" s="91"/>
      <c r="P223" s="81"/>
      <c r="Q223" s="82"/>
    </row>
    <row r="224">
      <c r="A224" s="181">
        <v>41915.0</v>
      </c>
      <c r="B224" s="181">
        <v>41910.0</v>
      </c>
      <c r="C224" s="35" t="s">
        <v>185</v>
      </c>
      <c r="D224" s="35" t="s">
        <v>469</v>
      </c>
      <c r="E224" s="86" t="str">
        <f>HYPERLINK("https://youtu.be/MaB3Zw5_p9c","LINK - YT")</f>
        <v>LINK - YT</v>
      </c>
      <c r="F224" s="87">
        <v>0.33194444444444443</v>
      </c>
      <c r="G224" s="78"/>
      <c r="H224" s="80" t="s">
        <v>916</v>
      </c>
      <c r="I224" s="80"/>
      <c r="J224" s="80" t="s">
        <v>613</v>
      </c>
      <c r="K224" s="80" t="s">
        <v>917</v>
      </c>
      <c r="L224" s="80"/>
      <c r="M224" s="30"/>
      <c r="N224" s="86" t="str">
        <f>HYPERLINK("https://www.vanityfair.com/news/daily-news/2014/09/julian-assange-leaves-london-as-a-hologram-for-nantucket-project-appearance","Article")</f>
        <v>Article</v>
      </c>
      <c r="O224" s="91"/>
      <c r="P224" s="81"/>
      <c r="Q224" s="82"/>
    </row>
    <row r="225">
      <c r="A225" s="181">
        <v>41926.0</v>
      </c>
      <c r="B225" s="181">
        <v>41906.0</v>
      </c>
      <c r="C225" s="35" t="s">
        <v>185</v>
      </c>
      <c r="D225" s="35" t="s">
        <v>469</v>
      </c>
      <c r="E225" s="86" t="str">
        <f>HYPERLINK("https://youtu.be/Nk6IMJMEUos","LINK - YT")</f>
        <v>LINK - YT</v>
      </c>
      <c r="F225" s="87">
        <v>0.25763888888888886</v>
      </c>
      <c r="G225" s="78"/>
      <c r="H225" s="80" t="s">
        <v>918</v>
      </c>
      <c r="I225" s="80" t="s">
        <v>919</v>
      </c>
      <c r="J225" s="80" t="s">
        <v>920</v>
      </c>
      <c r="K225" s="80" t="s">
        <v>921</v>
      </c>
      <c r="L225" s="80"/>
      <c r="M225" s="30"/>
      <c r="N225" s="86" t="str">
        <f t="shared" ref="N225:N226" si="4">HYPERLINK("https://www.orbooks.com/catalog/when-google-met-wikileaks/","OR Books")</f>
        <v>OR Books</v>
      </c>
      <c r="O225" s="91"/>
      <c r="P225" s="81"/>
      <c r="Q225" s="82"/>
    </row>
    <row r="226">
      <c r="A226" s="181">
        <v>41918.0</v>
      </c>
      <c r="B226" s="181">
        <v>41906.0</v>
      </c>
      <c r="C226" s="35" t="s">
        <v>185</v>
      </c>
      <c r="D226" s="35" t="s">
        <v>907</v>
      </c>
      <c r="E226" s="86" t="str">
        <f>HYPERLINK("https://vimeo.com/108132325","LINK - VIMEO")</f>
        <v>LINK - VIMEO</v>
      </c>
      <c r="F226" s="146" t="s">
        <v>922</v>
      </c>
      <c r="G226" s="78"/>
      <c r="H226" s="80" t="s">
        <v>923</v>
      </c>
      <c r="I226" s="80" t="s">
        <v>924</v>
      </c>
      <c r="J226" s="80" t="s">
        <v>920</v>
      </c>
      <c r="K226" s="80" t="s">
        <v>921</v>
      </c>
      <c r="L226" s="80" t="s">
        <v>925</v>
      </c>
      <c r="M226" s="86" t="str">
        <f>HYPERLINK("https://www.longislandpress.com/2014/09/27/wikileaks-assange-talks-google-nsa-granai-airstrike-video-at-nyc-book-launch/","Report of Event")</f>
        <v>Report of Event</v>
      </c>
      <c r="N226" s="86" t="str">
        <f t="shared" si="4"/>
        <v>OR Books</v>
      </c>
      <c r="O226" s="96" t="str">
        <f>HYPERLINK("https://twitter.com/LaFleurDelSur/status/1235577428963139584","Tweet")</f>
        <v>Tweet</v>
      </c>
      <c r="P226" s="81"/>
      <c r="Q226" s="82"/>
    </row>
    <row r="227">
      <c r="A227" s="181">
        <v>41902.0</v>
      </c>
      <c r="B227" s="181"/>
      <c r="C227" s="35" t="s">
        <v>185</v>
      </c>
      <c r="D227" s="35" t="s">
        <v>469</v>
      </c>
      <c r="E227" s="86" t="str">
        <f>HYPERLINK("https://youtu.be/-TPv-cxrrLM","LINK - VIDEO")</f>
        <v>LINK - VIDEO</v>
      </c>
      <c r="F227" s="146" t="s">
        <v>926</v>
      </c>
      <c r="G227" s="78"/>
      <c r="H227" s="80" t="s">
        <v>927</v>
      </c>
      <c r="I227" s="80" t="s">
        <v>919</v>
      </c>
      <c r="J227" s="80" t="s">
        <v>928</v>
      </c>
      <c r="K227" s="80" t="s">
        <v>929</v>
      </c>
      <c r="L227" s="80"/>
      <c r="M227" s="30"/>
      <c r="O227" s="91"/>
      <c r="P227" s="81"/>
      <c r="Q227" s="82"/>
    </row>
    <row r="228">
      <c r="A228" s="181">
        <v>41911.0</v>
      </c>
      <c r="B228" s="181">
        <v>41908.0</v>
      </c>
      <c r="C228" s="35" t="s">
        <v>671</v>
      </c>
      <c r="D228" s="35" t="s">
        <v>469</v>
      </c>
      <c r="E228" s="86" t="str">
        <f>HYPERLINK("https://youtu.be/w1kebU_p0CA","LINK - YT")</f>
        <v>LINK - YT</v>
      </c>
      <c r="F228" s="146" t="s">
        <v>930</v>
      </c>
      <c r="G228" s="78"/>
      <c r="H228" s="80" t="s">
        <v>931</v>
      </c>
      <c r="I228" s="80" t="s">
        <v>919</v>
      </c>
      <c r="J228" s="80" t="s">
        <v>932</v>
      </c>
      <c r="K228" s="80" t="s">
        <v>933</v>
      </c>
      <c r="L228" s="80"/>
      <c r="M228" s="30"/>
      <c r="N228" s="86" t="str">
        <f>HYPERLINK("https://www.cbc.ca/news/world/wikileaks-founder-julian-assange-tackles-google-dispels-health-rumours-1.2779189","LINK- Website")</f>
        <v>LINK- Website</v>
      </c>
      <c r="O228" s="96" t="str">
        <f>HYPERLINK("https://www.pinterest.nz/pin/640426009487620381/","MEME")</f>
        <v>MEME</v>
      </c>
      <c r="P228" s="81"/>
      <c r="Q228" s="82"/>
    </row>
    <row r="229">
      <c r="A229" s="181">
        <v>41904.0</v>
      </c>
      <c r="B229" s="181">
        <v>41904.0</v>
      </c>
      <c r="C229" s="35" t="s">
        <v>185</v>
      </c>
      <c r="D229" s="35" t="s">
        <v>469</v>
      </c>
      <c r="E229" s="86" t="str">
        <f>HYPERLINK("https://youtu.be/OTV_Vz-Ur2M","LINK - YT")</f>
        <v>LINK - YT</v>
      </c>
      <c r="F229" s="146" t="s">
        <v>934</v>
      </c>
      <c r="G229" s="78"/>
      <c r="H229" s="80" t="s">
        <v>935</v>
      </c>
      <c r="I229" s="80" t="s">
        <v>936</v>
      </c>
      <c r="J229" s="80" t="s">
        <v>763</v>
      </c>
      <c r="K229" s="80" t="s">
        <v>661</v>
      </c>
      <c r="L229" s="80" t="s">
        <v>937</v>
      </c>
      <c r="M229" s="30"/>
      <c r="N229" s="30"/>
      <c r="O229" s="29"/>
      <c r="P229" s="81"/>
      <c r="Q229" s="82"/>
    </row>
    <row r="230">
      <c r="A230" s="181">
        <v>41900.0</v>
      </c>
      <c r="B230" s="181"/>
      <c r="C230" s="35" t="s">
        <v>185</v>
      </c>
      <c r="D230" s="35" t="s">
        <v>938</v>
      </c>
      <c r="E230" s="86" t="str">
        <f>HYPERLINK("https://youtu.be/gaIE-NuQI1o","LINK - YT")</f>
        <v>LINK - YT</v>
      </c>
      <c r="F230" s="87">
        <v>0.2625</v>
      </c>
      <c r="G230" s="78"/>
      <c r="H230" s="80" t="s">
        <v>939</v>
      </c>
      <c r="I230" s="80" t="s">
        <v>940</v>
      </c>
      <c r="J230" s="80" t="s">
        <v>941</v>
      </c>
      <c r="K230" s="80" t="s">
        <v>614</v>
      </c>
      <c r="L230" s="80"/>
      <c r="M230" s="30"/>
      <c r="N230" s="30"/>
      <c r="O230" s="29"/>
      <c r="P230" s="81"/>
      <c r="Q230" s="82"/>
    </row>
    <row r="231">
      <c r="A231" s="181">
        <v>41897.0</v>
      </c>
      <c r="B231" s="181">
        <v>41897.0</v>
      </c>
      <c r="C231" s="35" t="s">
        <v>185</v>
      </c>
      <c r="D231" s="35" t="s">
        <v>469</v>
      </c>
      <c r="E231" s="86" t="str">
        <f>HYPERLINK("https://youtu.be/Pbps1EwAW-0?t=4664","LINK - YT")</f>
        <v>LINK - YT</v>
      </c>
      <c r="F231" s="154">
        <v>0.08756944444444445</v>
      </c>
      <c r="G231" s="78"/>
      <c r="H231" s="80" t="s">
        <v>942</v>
      </c>
      <c r="I231" s="80" t="s">
        <v>943</v>
      </c>
      <c r="J231" s="80" t="s">
        <v>944</v>
      </c>
      <c r="K231" s="80" t="s">
        <v>614</v>
      </c>
      <c r="L231" s="80" t="s">
        <v>945</v>
      </c>
      <c r="M231" s="30"/>
      <c r="N231" s="36"/>
      <c r="O231" s="91"/>
      <c r="P231" s="81"/>
      <c r="Q231" s="82"/>
    </row>
    <row r="232">
      <c r="A232" s="181">
        <v>41869.0</v>
      </c>
      <c r="B232" s="181"/>
      <c r="C232" s="35" t="s">
        <v>185</v>
      </c>
      <c r="D232" s="35" t="s">
        <v>946</v>
      </c>
      <c r="E232" s="86" t="str">
        <f>HYPERLINK("https://youtu.be/3GDcPzWPL1E","LINK - RT")</f>
        <v>LINK - RT</v>
      </c>
      <c r="F232" s="146" t="s">
        <v>947</v>
      </c>
      <c r="G232" s="78"/>
      <c r="H232" s="80" t="s">
        <v>948</v>
      </c>
      <c r="I232" s="79"/>
      <c r="J232" s="80" t="s">
        <v>949</v>
      </c>
      <c r="K232" s="80" t="s">
        <v>614</v>
      </c>
      <c r="L232" s="80" t="s">
        <v>950</v>
      </c>
      <c r="M232" s="30"/>
      <c r="N232" s="86" t="str">
        <f>HYPERLINK("https://www.rt.com/news/180976-assange-leaving-embassy-soon/","RT Article")</f>
        <v>RT Article</v>
      </c>
      <c r="O232" s="91"/>
      <c r="P232" s="81"/>
      <c r="Q232" s="82"/>
    </row>
    <row r="233">
      <c r="A233" s="181">
        <v>41808.0</v>
      </c>
      <c r="B233" s="181"/>
      <c r="C233" s="35" t="s">
        <v>185</v>
      </c>
      <c r="D233" s="35" t="s">
        <v>469</v>
      </c>
      <c r="E233" s="86" t="str">
        <f>HYPERLINK("https://youtu.be/ScFu7MeY4G4","LINK - YT")</f>
        <v>LINK - YT</v>
      </c>
      <c r="F233" s="146" t="s">
        <v>951</v>
      </c>
      <c r="G233" s="78"/>
      <c r="H233" s="80" t="s">
        <v>952</v>
      </c>
      <c r="I233" s="79"/>
      <c r="J233" s="80" t="s">
        <v>754</v>
      </c>
      <c r="K233" s="80"/>
      <c r="L233" s="79"/>
      <c r="M233" s="30"/>
      <c r="N233" s="36"/>
      <c r="O233" s="91"/>
      <c r="P233" s="81"/>
      <c r="Q233" s="82"/>
    </row>
    <row r="234">
      <c r="A234" s="181">
        <v>41706.0</v>
      </c>
      <c r="B234" s="181">
        <v>41706.0</v>
      </c>
      <c r="C234" s="35" t="s">
        <v>185</v>
      </c>
      <c r="D234" s="35" t="s">
        <v>469</v>
      </c>
      <c r="E234" s="86" t="str">
        <f>HYPERLINK("https://www.youtube.com/attribution_link?a=tNAbORKRm5E&amp;u=/watch%3Fv%3DZMZzPCFJ8xw%26feature%3Dshare","LINK - YT")</f>
        <v>LINK - YT</v>
      </c>
      <c r="F234" s="146" t="s">
        <v>953</v>
      </c>
      <c r="G234" s="78"/>
      <c r="H234" s="80" t="s">
        <v>954</v>
      </c>
      <c r="I234" s="79"/>
      <c r="J234" s="80" t="s">
        <v>754</v>
      </c>
      <c r="K234" s="80" t="s">
        <v>955</v>
      </c>
      <c r="L234" s="79"/>
      <c r="M234" s="30"/>
      <c r="N234" s="86" t="str">
        <f>HYPERLINK("https://www.thestar.com/entertainment/2014/03/08/julian_assange_warns_about_new_totalitarianism_at_south_by_southwest.html","LINK - Website")</f>
        <v>LINK - Website</v>
      </c>
      <c r="O234" s="96" t="str">
        <f>HYPERLINK("https://www.pinterest.nz/pin/640426009487625173/","MEME")</f>
        <v>MEME</v>
      </c>
      <c r="P234" s="81"/>
      <c r="Q234" s="82"/>
    </row>
    <row r="235">
      <c r="A235" s="181">
        <v>41688.0</v>
      </c>
      <c r="B235" s="181">
        <v>41688.0</v>
      </c>
      <c r="C235" s="35" t="s">
        <v>185</v>
      </c>
      <c r="D235" s="35" t="s">
        <v>469</v>
      </c>
      <c r="E235" s="86" t="str">
        <f>HYPERLINK("https://www.democracynow.org/2014/2/18/julian_assange_on_being_placed_on","LINK - DN")</f>
        <v>LINK - DN</v>
      </c>
      <c r="F235" s="146" t="s">
        <v>956</v>
      </c>
      <c r="G235" s="122" t="str">
        <f>HYPERLINK("https://www.democracynow.org/2014/2/18/julian_assange_on_being_placed_on","TRANSCRIPT")</f>
        <v>TRANSCRIPT</v>
      </c>
      <c r="H235" s="80" t="s">
        <v>957</v>
      </c>
      <c r="I235" s="80" t="s">
        <v>958</v>
      </c>
      <c r="J235" s="80" t="s">
        <v>613</v>
      </c>
      <c r="K235" s="80" t="s">
        <v>955</v>
      </c>
      <c r="L235" s="80" t="s">
        <v>959</v>
      </c>
      <c r="M235" s="30"/>
      <c r="N235" s="36"/>
      <c r="O235" s="91"/>
      <c r="P235" s="81"/>
      <c r="Q235" s="82"/>
    </row>
    <row r="236">
      <c r="A236" s="181">
        <v>41680.0</v>
      </c>
      <c r="B236" s="181"/>
      <c r="C236" s="35" t="s">
        <v>185</v>
      </c>
      <c r="D236" s="35" t="s">
        <v>960</v>
      </c>
      <c r="E236" s="86" t="str">
        <f>HYPERLINK("https://youtu.be/emfncWOhXw8","LINK YT")</f>
        <v>LINK YT</v>
      </c>
      <c r="F236" s="87">
        <v>0.60625</v>
      </c>
      <c r="G236" s="78"/>
      <c r="H236" s="80" t="s">
        <v>961</v>
      </c>
      <c r="I236" s="80" t="s">
        <v>962</v>
      </c>
      <c r="J236" s="80" t="s">
        <v>613</v>
      </c>
      <c r="K236" s="80" t="s">
        <v>963</v>
      </c>
      <c r="L236" s="79"/>
      <c r="M236" s="30"/>
      <c r="N236" s="86" t="str">
        <f>HYPERLINK("https://www.cage.ngo/prevent-strategy-cradle-grave-police-state","CAGE - Related policy")</f>
        <v>CAGE - Related policy</v>
      </c>
      <c r="O236" s="91"/>
      <c r="P236" s="81"/>
      <c r="Q236" s="82"/>
    </row>
    <row r="237">
      <c r="A237" s="181">
        <v>41641.0</v>
      </c>
      <c r="B237" s="181">
        <v>41641.0</v>
      </c>
      <c r="C237" s="35" t="s">
        <v>671</v>
      </c>
      <c r="D237" s="35" t="s">
        <v>964</v>
      </c>
      <c r="E237" s="86" t="str">
        <f>HYPERLINK("https://youtu.be/_gmQX1c_4OM","LINK - YT")</f>
        <v>LINK - YT</v>
      </c>
      <c r="F237" s="87">
        <v>0.18958333333333333</v>
      </c>
      <c r="G237" s="78"/>
      <c r="H237" s="80" t="s">
        <v>965</v>
      </c>
      <c r="I237" s="80" t="s">
        <v>966</v>
      </c>
      <c r="J237" s="80" t="s">
        <v>613</v>
      </c>
      <c r="K237" s="80" t="s">
        <v>967</v>
      </c>
      <c r="L237" s="79"/>
      <c r="M237" s="30"/>
      <c r="N237" s="86" t="str">
        <f>HYPERLINK("https://twitter.com/LaFleurDelSur/status/1093736646980317186","Meme 1")</f>
        <v>Meme 1</v>
      </c>
      <c r="O237" s="96" t="str">
        <f>HYPERLINK("https://twitter.com/LaFleurDelSur/status/1094522149740658689","Meme 2")</f>
        <v>Meme 2</v>
      </c>
      <c r="P237" s="81"/>
      <c r="Q237" s="82"/>
    </row>
    <row r="238">
      <c r="A238" s="157">
        <v>41642.0</v>
      </c>
      <c r="B238" s="157">
        <v>41637.0</v>
      </c>
      <c r="C238" s="35" t="s">
        <v>185</v>
      </c>
      <c r="D238" s="182" t="s">
        <v>968</v>
      </c>
      <c r="E238" s="86" t="str">
        <f>HYPERLINK("https://media.ccc.de/v/30C3_-_5397_-_en_-_saal_1_-_201312292245_-_sysadmins_of_the_world_unite_-_julian_assange_-_jacob#t=7","LINK - MEDIA")</f>
        <v>LINK - MEDIA</v>
      </c>
      <c r="F238" s="146" t="s">
        <v>969</v>
      </c>
      <c r="G238" s="153"/>
      <c r="H238" s="80" t="s">
        <v>970</v>
      </c>
      <c r="I238" s="80"/>
      <c r="J238" s="80" t="s">
        <v>971</v>
      </c>
      <c r="K238" s="80" t="s">
        <v>972</v>
      </c>
      <c r="L238" s="80"/>
      <c r="M238" s="30"/>
      <c r="N238" s="36"/>
      <c r="O238" s="29"/>
      <c r="P238" s="81"/>
      <c r="Q238" s="82"/>
    </row>
    <row r="239">
      <c r="A239" s="157">
        <v>41591.0</v>
      </c>
      <c r="B239" s="157">
        <v>41591.0</v>
      </c>
      <c r="C239" s="35" t="s">
        <v>185</v>
      </c>
      <c r="D239" s="35" t="s">
        <v>469</v>
      </c>
      <c r="E239" s="86" t="str">
        <f>HYPERLINK("https://youtu.be/0YyVlOGG-KE","LINK - YT")</f>
        <v>LINK - YT</v>
      </c>
      <c r="F239" s="146" t="s">
        <v>973</v>
      </c>
      <c r="G239" s="153"/>
      <c r="H239" s="80" t="s">
        <v>974</v>
      </c>
      <c r="I239" s="80" t="s">
        <v>975</v>
      </c>
      <c r="J239" s="80" t="s">
        <v>754</v>
      </c>
      <c r="K239" s="80" t="s">
        <v>976</v>
      </c>
      <c r="L239" s="80" t="s">
        <v>977</v>
      </c>
      <c r="M239" s="30"/>
      <c r="N239" s="86" t="str">
        <f>HYPERLINK("https://www.brownpoliticalreview.org/2013/11/multi-viral-a-new-kind-of-protest-song/","LINK Website")</f>
        <v>LINK Website</v>
      </c>
      <c r="O239" s="29"/>
      <c r="P239" s="81"/>
      <c r="Q239" s="82"/>
    </row>
    <row r="240">
      <c r="A240" s="157">
        <v>41580.0</v>
      </c>
      <c r="B240" s="157"/>
      <c r="C240" s="35" t="s">
        <v>185</v>
      </c>
      <c r="D240" s="35" t="s">
        <v>469</v>
      </c>
      <c r="E240" s="86" t="str">
        <f>HYPERLINK("https://youtu.be/pcm-sC9y5Us","LINK - YT")</f>
        <v>LINK - YT</v>
      </c>
      <c r="F240" s="77"/>
      <c r="G240" s="78"/>
      <c r="H240" s="149" t="s">
        <v>978</v>
      </c>
      <c r="I240" s="79"/>
      <c r="J240" s="80" t="s">
        <v>613</v>
      </c>
      <c r="K240" s="80" t="s">
        <v>772</v>
      </c>
      <c r="L240" s="79"/>
      <c r="M240" s="30"/>
      <c r="N240" s="30"/>
      <c r="O240" s="29"/>
      <c r="P240" s="81"/>
      <c r="Q240" s="82"/>
    </row>
    <row r="241">
      <c r="A241" s="157">
        <v>41560.0</v>
      </c>
      <c r="B241" s="157"/>
      <c r="C241" s="35" t="s">
        <v>185</v>
      </c>
      <c r="D241" s="35" t="s">
        <v>469</v>
      </c>
      <c r="E241" s="86" t="str">
        <f>HYPERLINK("https://youtu.be/Cy7Po2CQ6Zg","LINK - YT")</f>
        <v>LINK - YT</v>
      </c>
      <c r="F241" s="131">
        <v>0.43472222222222223</v>
      </c>
      <c r="G241" s="153"/>
      <c r="H241" s="149" t="s">
        <v>979</v>
      </c>
      <c r="I241" s="80" t="s">
        <v>980</v>
      </c>
      <c r="J241" s="80" t="s">
        <v>613</v>
      </c>
      <c r="K241" s="80" t="s">
        <v>772</v>
      </c>
      <c r="L241" s="79"/>
      <c r="M241" s="30"/>
      <c r="N241" s="30"/>
      <c r="O241" s="29"/>
      <c r="P241" s="81"/>
      <c r="Q241" s="82"/>
    </row>
    <row r="242">
      <c r="A242" s="157">
        <v>41558.0</v>
      </c>
      <c r="B242" s="157"/>
      <c r="C242" s="35" t="s">
        <v>185</v>
      </c>
      <c r="D242" s="35" t="s">
        <v>469</v>
      </c>
      <c r="E242" s="86" t="str">
        <f>HYPERLINK("https://youtu.be/9WKXI_ooSYY","LINK - YT")</f>
        <v>LINK - YT</v>
      </c>
      <c r="F242" s="146" t="s">
        <v>981</v>
      </c>
      <c r="G242" s="122" t="str">
        <f>HYPERLINK("https://www.rt.com/news/assange-interview-snowden-journalists-079/","TRANSCRIPT")</f>
        <v>TRANSCRIPT</v>
      </c>
      <c r="H242" s="149" t="s">
        <v>982</v>
      </c>
      <c r="I242" s="80" t="s">
        <v>983</v>
      </c>
      <c r="J242" s="80" t="s">
        <v>984</v>
      </c>
      <c r="K242" s="80"/>
      <c r="L242" s="80" t="s">
        <v>985</v>
      </c>
      <c r="M242" s="30"/>
      <c r="N242" s="30"/>
      <c r="O242" s="29"/>
      <c r="P242" s="81"/>
      <c r="Q242" s="82"/>
    </row>
    <row r="243">
      <c r="A243" s="157">
        <v>41533.0</v>
      </c>
      <c r="B243" s="157">
        <v>41533.0</v>
      </c>
      <c r="C243" s="35" t="s">
        <v>185</v>
      </c>
      <c r="D243" s="35" t="s">
        <v>469</v>
      </c>
      <c r="E243" s="86" t="str">
        <f>HYPERLINK("https://youtu.be/Cm3AKz_JycE","LINK - YT")</f>
        <v>LINK - YT</v>
      </c>
      <c r="F243" s="146" t="s">
        <v>986</v>
      </c>
      <c r="G243" s="153"/>
      <c r="H243" s="149" t="s">
        <v>987</v>
      </c>
      <c r="I243" s="80" t="s">
        <v>988</v>
      </c>
      <c r="J243" s="80" t="s">
        <v>989</v>
      </c>
      <c r="K243" s="80" t="s">
        <v>990</v>
      </c>
      <c r="L243" s="80" t="s">
        <v>991</v>
      </c>
      <c r="M243" s="30"/>
      <c r="N243" s="30"/>
      <c r="O243" s="29"/>
      <c r="P243" s="81"/>
      <c r="Q243" s="82"/>
    </row>
    <row r="244">
      <c r="A244" s="157">
        <v>41522.0</v>
      </c>
      <c r="B244" s="157">
        <v>41522.0</v>
      </c>
      <c r="C244" s="35" t="s">
        <v>185</v>
      </c>
      <c r="D244" s="35" t="s">
        <v>469</v>
      </c>
      <c r="E244" s="86" t="str">
        <f>HYPERLINK("https://youtu.be/1XHgBBSYHFI","LINK - YT")</f>
        <v>LINK - YT</v>
      </c>
      <c r="F244" s="131">
        <v>0.2465277777777778</v>
      </c>
      <c r="G244" s="153"/>
      <c r="H244" s="149" t="s">
        <v>992</v>
      </c>
      <c r="I244" s="80" t="s">
        <v>993</v>
      </c>
      <c r="J244" s="80" t="s">
        <v>665</v>
      </c>
      <c r="K244" s="80" t="s">
        <v>772</v>
      </c>
      <c r="L244" s="79"/>
      <c r="M244" s="30"/>
      <c r="N244" s="30"/>
      <c r="O244" s="29"/>
      <c r="P244" s="81"/>
      <c r="Q244" s="82"/>
    </row>
    <row r="245">
      <c r="A245" s="157">
        <v>41522.0</v>
      </c>
      <c r="B245" s="157">
        <v>41522.0</v>
      </c>
      <c r="C245" s="35" t="s">
        <v>185</v>
      </c>
      <c r="D245" s="35" t="s">
        <v>469</v>
      </c>
      <c r="E245" s="86" t="str">
        <f>HYPERLINK("https://youtu.be/iFS0x-gaonU","LINK - YT")</f>
        <v>LINK - YT</v>
      </c>
      <c r="F245" s="131">
        <v>0.3701388888888889</v>
      </c>
      <c r="G245" s="153"/>
      <c r="H245" s="149" t="s">
        <v>994</v>
      </c>
      <c r="I245" s="80" t="s">
        <v>995</v>
      </c>
      <c r="J245" s="80" t="s">
        <v>665</v>
      </c>
      <c r="K245" s="80" t="s">
        <v>772</v>
      </c>
      <c r="L245" s="79"/>
      <c r="M245" s="30"/>
      <c r="N245" s="30"/>
      <c r="O245" s="29"/>
      <c r="P245" s="81"/>
      <c r="Q245" s="82"/>
    </row>
    <row r="246">
      <c r="A246" s="157">
        <v>41522.0</v>
      </c>
      <c r="B246" s="157">
        <v>41522.0</v>
      </c>
      <c r="C246" s="35" t="s">
        <v>185</v>
      </c>
      <c r="D246" s="35" t="s">
        <v>469</v>
      </c>
      <c r="E246" s="86" t="str">
        <f>HYPERLINK("https://youtu.be/oi6Qkol7mjc","LINK - YT")</f>
        <v>LINK - YT</v>
      </c>
      <c r="F246" s="131">
        <v>0.2465277777777778</v>
      </c>
      <c r="G246" s="153"/>
      <c r="H246" s="149" t="s">
        <v>996</v>
      </c>
      <c r="I246" s="80" t="s">
        <v>997</v>
      </c>
      <c r="J246" s="80" t="s">
        <v>665</v>
      </c>
      <c r="K246" s="80" t="s">
        <v>772</v>
      </c>
      <c r="L246" s="79"/>
      <c r="M246" s="30"/>
      <c r="N246" s="30"/>
      <c r="O246" s="29"/>
      <c r="P246" s="81"/>
      <c r="Q246" s="82"/>
    </row>
    <row r="247">
      <c r="A247" s="157">
        <v>41522.0</v>
      </c>
      <c r="B247" s="157">
        <v>41522.0</v>
      </c>
      <c r="C247" s="35" t="s">
        <v>185</v>
      </c>
      <c r="D247" s="35" t="s">
        <v>469</v>
      </c>
      <c r="E247" s="86" t="str">
        <f>HYPERLINK("https://youtu.be/n7nDWOKv_ts","LINK - YT")</f>
        <v>LINK - YT</v>
      </c>
      <c r="F247" s="131">
        <v>0.044444444444444446</v>
      </c>
      <c r="G247" s="153"/>
      <c r="H247" s="149" t="s">
        <v>998</v>
      </c>
      <c r="I247" s="80" t="s">
        <v>999</v>
      </c>
      <c r="J247" s="80" t="s">
        <v>665</v>
      </c>
      <c r="K247" s="80" t="s">
        <v>772</v>
      </c>
      <c r="L247" s="79"/>
      <c r="M247" s="30"/>
      <c r="N247" s="30"/>
      <c r="O247" s="29"/>
      <c r="P247" s="81"/>
      <c r="Q247" s="82"/>
    </row>
    <row r="248">
      <c r="A248" s="157">
        <v>43388.0</v>
      </c>
      <c r="B248" s="157">
        <v>41492.0</v>
      </c>
      <c r="C248" s="35" t="s">
        <v>185</v>
      </c>
      <c r="D248" s="35" t="s">
        <v>469</v>
      </c>
      <c r="E248" s="86" t="str">
        <f>HYPERLINK("https://youtu.be/5Sp5IY9jZ_8","LINK - YT")</f>
        <v>LINK - YT</v>
      </c>
      <c r="F248" s="131">
        <v>0.6638888888888889</v>
      </c>
      <c r="G248" s="153"/>
      <c r="H248" s="149" t="s">
        <v>1000</v>
      </c>
      <c r="I248" s="80" t="s">
        <v>1001</v>
      </c>
      <c r="J248" s="80" t="s">
        <v>1002</v>
      </c>
      <c r="K248" s="80" t="s">
        <v>1003</v>
      </c>
      <c r="L248" s="80"/>
      <c r="M248" s="30"/>
      <c r="N248" s="30"/>
      <c r="O248" s="91"/>
      <c r="P248" s="81"/>
      <c r="Q248" s="82"/>
    </row>
    <row r="249">
      <c r="A249" s="157">
        <v>41491.0</v>
      </c>
      <c r="B249" s="157"/>
      <c r="C249" s="35" t="s">
        <v>185</v>
      </c>
      <c r="D249" s="35" t="s">
        <v>1004</v>
      </c>
      <c r="E249" s="86" t="str">
        <f>HYPERLINK("https://youtu.be/CLZHM6vCcyo","LINK - YT")</f>
        <v>LINK - YT</v>
      </c>
      <c r="F249" s="131">
        <v>0.4861111111111111</v>
      </c>
      <c r="G249" s="153"/>
      <c r="H249" s="149" t="s">
        <v>1005</v>
      </c>
      <c r="I249" s="80" t="s">
        <v>1006</v>
      </c>
      <c r="J249" s="80" t="s">
        <v>613</v>
      </c>
      <c r="K249" s="80" t="s">
        <v>1007</v>
      </c>
      <c r="L249" s="80"/>
      <c r="M249" s="30"/>
      <c r="N249" s="30"/>
      <c r="O249" s="91"/>
      <c r="P249" s="81"/>
      <c r="Q249" s="82"/>
    </row>
    <row r="250">
      <c r="A250" s="157">
        <v>41492.0</v>
      </c>
      <c r="B250" s="157">
        <v>41487.0</v>
      </c>
      <c r="C250" s="35" t="s">
        <v>185</v>
      </c>
      <c r="D250" s="35" t="s">
        <v>469</v>
      </c>
      <c r="E250" s="86" t="str">
        <f>HYPERLINK("https://youtu.be/7nRKGF1pYsM","LINK - YT")</f>
        <v>LINK - YT</v>
      </c>
      <c r="F250" s="131">
        <v>0.5569444444444445</v>
      </c>
      <c r="G250" s="153"/>
      <c r="H250" s="149" t="s">
        <v>1008</v>
      </c>
      <c r="I250" s="80" t="s">
        <v>517</v>
      </c>
      <c r="J250" s="80" t="s">
        <v>754</v>
      </c>
      <c r="K250" s="80"/>
      <c r="L250" s="80" t="s">
        <v>1009</v>
      </c>
      <c r="M250" s="30"/>
      <c r="N250" s="30"/>
      <c r="O250" s="96" t="str">
        <f>HYPERLINK("https://www.pinterest.nz/pin/640426009488171975/","PINTEREST")</f>
        <v>PINTEREST</v>
      </c>
      <c r="P250" s="81"/>
      <c r="Q250" s="82"/>
    </row>
    <row r="251">
      <c r="A251" s="157">
        <v>41486.0</v>
      </c>
      <c r="B251" s="157"/>
      <c r="C251" s="35" t="s">
        <v>185</v>
      </c>
      <c r="D251" s="35" t="s">
        <v>469</v>
      </c>
      <c r="E251" s="86" t="str">
        <f>HYPERLINK("https://youtu.be/hreufcL1LtQ?t=2m","LINK - YT")</f>
        <v>LINK - YT</v>
      </c>
      <c r="F251" s="77"/>
      <c r="G251" s="122" t="str">
        <f>HYPERLINK("https://www.democracynow.org/2013/7/31/bradley_manning_has_become_a_martyr","TRANSCRIPT")</f>
        <v>TRANSCRIPT</v>
      </c>
      <c r="H251" s="149" t="s">
        <v>1010</v>
      </c>
      <c r="I251" s="80" t="s">
        <v>1011</v>
      </c>
      <c r="J251" s="80" t="s">
        <v>875</v>
      </c>
      <c r="K251" s="80" t="s">
        <v>772</v>
      </c>
      <c r="L251" s="79"/>
      <c r="M251" s="30"/>
      <c r="N251" s="30"/>
      <c r="O251" s="29"/>
      <c r="P251" s="81"/>
      <c r="Q251" s="82"/>
    </row>
    <row r="252">
      <c r="A252" s="157">
        <v>41475.0</v>
      </c>
      <c r="B252" s="157"/>
      <c r="C252" s="35" t="s">
        <v>1012</v>
      </c>
      <c r="D252" s="35" t="s">
        <v>1013</v>
      </c>
      <c r="E252" s="86" t="str">
        <f>HYPERLINK("https://youtu.be/7QyqkaJ83RI","LINK - YT")</f>
        <v>LINK - YT</v>
      </c>
      <c r="F252" s="87">
        <v>0.26805555555555555</v>
      </c>
      <c r="G252" s="153"/>
      <c r="H252" s="80" t="s">
        <v>1014</v>
      </c>
      <c r="I252" s="80" t="s">
        <v>1011</v>
      </c>
      <c r="J252" s="80" t="s">
        <v>1015</v>
      </c>
      <c r="K252" s="80" t="s">
        <v>1016</v>
      </c>
      <c r="L252" s="80"/>
      <c r="M252" s="30"/>
      <c r="N252" s="30"/>
      <c r="O252" s="29"/>
      <c r="P252" s="81"/>
      <c r="Q252" s="82"/>
    </row>
    <row r="253">
      <c r="A253" s="157">
        <v>41481.0</v>
      </c>
      <c r="B253" s="157">
        <v>41479.0</v>
      </c>
      <c r="C253" s="35" t="s">
        <v>185</v>
      </c>
      <c r="D253" s="35" t="s">
        <v>907</v>
      </c>
      <c r="E253" s="86" t="str">
        <f>HYPERLINK("https://vimeo.com/wikileaksparty/assange","LINK - VIMEO")</f>
        <v>LINK - VIMEO</v>
      </c>
      <c r="F253" s="146" t="s">
        <v>1017</v>
      </c>
      <c r="G253" s="153"/>
      <c r="H253" s="80" t="s">
        <v>1018</v>
      </c>
      <c r="I253" s="80" t="s">
        <v>1019</v>
      </c>
      <c r="J253" s="80" t="s">
        <v>613</v>
      </c>
      <c r="K253" s="80" t="s">
        <v>1020</v>
      </c>
      <c r="L253" s="80"/>
      <c r="M253" s="30"/>
      <c r="N253" s="30"/>
      <c r="O253" s="29"/>
      <c r="P253" s="81"/>
      <c r="Q253" s="82"/>
    </row>
    <row r="254">
      <c r="A254" s="157">
        <v>41475.0</v>
      </c>
      <c r="B254" s="157"/>
      <c r="C254" s="35" t="s">
        <v>245</v>
      </c>
      <c r="D254" s="35" t="s">
        <v>1021</v>
      </c>
      <c r="E254" s="36"/>
      <c r="F254" s="87"/>
      <c r="G254" s="122" t="str">
        <f>HYPERLINK("https://www.dailymail.co.uk/home/event/article-2368613/Julian-Assange-Worst-thing-anyones-said-That-I-mean-cat-turned-psychotic.html","ARTICLE")</f>
        <v>ARTICLE</v>
      </c>
      <c r="H254" s="80" t="s">
        <v>1022</v>
      </c>
      <c r="I254" s="80"/>
      <c r="J254" s="80" t="s">
        <v>613</v>
      </c>
      <c r="K254" s="80"/>
      <c r="L254" s="80"/>
      <c r="M254" s="30"/>
      <c r="N254" s="30"/>
      <c r="O254" s="29"/>
      <c r="P254" s="81"/>
      <c r="Q254" s="82"/>
    </row>
    <row r="255">
      <c r="A255" s="159">
        <v>41464.0</v>
      </c>
      <c r="B255" s="159">
        <v>41464.0</v>
      </c>
      <c r="C255" s="35" t="s">
        <v>245</v>
      </c>
      <c r="D255" s="35" t="s">
        <v>1023</v>
      </c>
      <c r="E255" s="36"/>
      <c r="F255" s="87"/>
      <c r="G255" s="122" t="str">
        <f>HYPERLINK("https://www.theguardian.com/commentisfree/2013/jul/09/cryptography-weapon-fight-empire-states-julian-assange","ARTICLE")</f>
        <v>ARTICLE</v>
      </c>
      <c r="H255" s="80" t="s">
        <v>1024</v>
      </c>
      <c r="I255" s="80" t="s">
        <v>1025</v>
      </c>
      <c r="J255" s="80"/>
      <c r="K255" s="80"/>
      <c r="L255" s="80"/>
      <c r="M255" s="30"/>
      <c r="N255" s="30"/>
      <c r="O255" s="29"/>
      <c r="P255" s="81"/>
      <c r="Q255" s="82"/>
    </row>
    <row r="256">
      <c r="A256" s="157">
        <v>41455.0</v>
      </c>
      <c r="B256" s="157">
        <v>41455.0</v>
      </c>
      <c r="C256" s="35" t="s">
        <v>185</v>
      </c>
      <c r="D256" s="35" t="s">
        <v>1026</v>
      </c>
      <c r="E256" s="86" t="str">
        <f>HYPERLINK("https://youtu.be/zWorNyVC5Ds","LINK - YT")</f>
        <v>LINK - YT</v>
      </c>
      <c r="F256" s="87">
        <v>0.6319444444444444</v>
      </c>
      <c r="G256" s="153"/>
      <c r="H256" s="80" t="s">
        <v>1027</v>
      </c>
      <c r="I256" s="80" t="s">
        <v>696</v>
      </c>
      <c r="J256" s="80" t="s">
        <v>1028</v>
      </c>
      <c r="K256" s="80" t="s">
        <v>772</v>
      </c>
      <c r="L256" s="80"/>
      <c r="M256" s="30"/>
      <c r="N256" s="30"/>
      <c r="O256" s="29"/>
      <c r="P256" s="81"/>
      <c r="Q256" s="82"/>
    </row>
    <row r="257">
      <c r="A257" s="157">
        <v>41448.0</v>
      </c>
      <c r="B257" s="157">
        <v>41447.0</v>
      </c>
      <c r="C257" s="35" t="s">
        <v>185</v>
      </c>
      <c r="D257" s="35" t="s">
        <v>469</v>
      </c>
      <c r="E257" s="86" t="str">
        <f>HYPERLINK("https://youtu.be/-jd2D0z7cd4","LINK - YT")</f>
        <v>LINK - YT</v>
      </c>
      <c r="F257" s="146" t="s">
        <v>1029</v>
      </c>
      <c r="G257" s="122" t="str">
        <f>HYPERLINK("https://wiseupaction.info/text-of-postponed-julian-assange-speech-sat-22-june/","TRANSCRIPT")</f>
        <v>TRANSCRIPT</v>
      </c>
      <c r="H257" s="80" t="s">
        <v>1030</v>
      </c>
      <c r="I257" s="80" t="s">
        <v>1031</v>
      </c>
      <c r="J257" s="80" t="s">
        <v>1032</v>
      </c>
      <c r="K257" s="79"/>
      <c r="L257" s="80" t="s">
        <v>1033</v>
      </c>
      <c r="M257" s="30"/>
      <c r="N257" s="30"/>
      <c r="O257" s="29"/>
      <c r="P257" s="81"/>
      <c r="Q257" s="82"/>
    </row>
    <row r="258">
      <c r="A258" s="157">
        <v>41435.0</v>
      </c>
      <c r="B258" s="157">
        <v>41435.0</v>
      </c>
      <c r="C258" s="183" t="s">
        <v>185</v>
      </c>
      <c r="D258" s="183" t="s">
        <v>469</v>
      </c>
      <c r="E258" s="184" t="str">
        <f>HYPERLINK("https://youtu.be/dyNdtXBMhHM","LINK - YT")</f>
        <v>LINK - YT</v>
      </c>
      <c r="F258" s="131"/>
      <c r="G258" s="122" t="str">
        <f>HYPERLINK("https://www.youtube.com/redirect?q=http%3A%2F%2Fwp.me%2Fp1jpRz-45K&amp;redir_token=_fZ1AVdeql4cOXVCm-YK_PNl0BJ8MTU0MzQxMTM5NEAxNTQzMzI0OTk0&amp;event=video_description&amp;v=dyNdtXBMhHM","TRANSCRIPT")</f>
        <v>TRANSCRIPT</v>
      </c>
      <c r="H258" s="149" t="s">
        <v>1034</v>
      </c>
      <c r="I258" s="80"/>
      <c r="J258" s="80" t="s">
        <v>1035</v>
      </c>
      <c r="K258" s="80" t="s">
        <v>1036</v>
      </c>
      <c r="L258" s="79"/>
      <c r="M258" s="30"/>
      <c r="N258" s="30"/>
      <c r="O258" s="29"/>
      <c r="P258" s="81"/>
      <c r="Q258" s="82"/>
    </row>
    <row r="259">
      <c r="A259" s="157">
        <v>41458.0</v>
      </c>
      <c r="B259" s="157">
        <v>41438.0</v>
      </c>
      <c r="C259" s="35" t="s">
        <v>185</v>
      </c>
      <c r="D259" s="35" t="s">
        <v>821</v>
      </c>
      <c r="E259" s="86" t="str">
        <f>HYPERLINK("https://vimeo.com/69603591","LINK - VIMEO")</f>
        <v>LINK - VIMEO</v>
      </c>
      <c r="F259" s="146" t="s">
        <v>1037</v>
      </c>
      <c r="G259" s="153"/>
      <c r="H259" s="80" t="s">
        <v>1038</v>
      </c>
      <c r="I259" s="80"/>
      <c r="J259" s="80" t="s">
        <v>613</v>
      </c>
      <c r="K259" s="80" t="s">
        <v>1039</v>
      </c>
      <c r="L259" s="79"/>
      <c r="M259" s="30"/>
      <c r="N259" s="30"/>
      <c r="O259" s="29"/>
      <c r="P259" s="81"/>
      <c r="Q259" s="82"/>
    </row>
    <row r="260">
      <c r="A260" s="157">
        <v>41435.0</v>
      </c>
      <c r="B260" s="157">
        <v>41435.0</v>
      </c>
      <c r="C260" s="35" t="s">
        <v>185</v>
      </c>
      <c r="D260" s="35" t="s">
        <v>469</v>
      </c>
      <c r="E260" s="86" t="str">
        <f>HYPERLINK("https://youtu.be/dyNdtXBMhHM","LINK - YT")</f>
        <v>LINK - YT</v>
      </c>
      <c r="F260" s="146" t="s">
        <v>1040</v>
      </c>
      <c r="G260" s="122" t="str">
        <f>HYPERLINK("https://leaksource.wordpress.com/2013/06/10/julian-assange-lateline-interview-06102013/","TRANSCRIPT")</f>
        <v>TRANSCRIPT</v>
      </c>
      <c r="H260" s="80" t="s">
        <v>1041</v>
      </c>
      <c r="I260" s="80" t="s">
        <v>1042</v>
      </c>
      <c r="J260" s="80" t="s">
        <v>1035</v>
      </c>
      <c r="K260" s="80" t="s">
        <v>1043</v>
      </c>
      <c r="L260" s="79"/>
      <c r="M260" s="30"/>
      <c r="N260" s="30"/>
      <c r="O260" s="29"/>
      <c r="P260" s="81"/>
      <c r="Q260" s="82"/>
    </row>
    <row r="261">
      <c r="A261" s="157"/>
      <c r="B261" s="157">
        <v>41428.0</v>
      </c>
      <c r="C261" s="35" t="s">
        <v>245</v>
      </c>
      <c r="D261" s="35" t="s">
        <v>413</v>
      </c>
      <c r="E261" s="36"/>
      <c r="F261" s="64"/>
      <c r="G261" s="122" t="str">
        <f>HYPERLINK("https://wikileaks.org/Assange-Statement-on-the-First-Day.html","STATEMENT")</f>
        <v>STATEMENT</v>
      </c>
      <c r="H261" s="149" t="s">
        <v>1044</v>
      </c>
      <c r="I261" s="149" t="s">
        <v>1045</v>
      </c>
      <c r="J261" s="80"/>
      <c r="K261" s="80" t="s">
        <v>1046</v>
      </c>
      <c r="L261" s="79"/>
      <c r="M261" s="30"/>
      <c r="N261" s="30"/>
      <c r="O261" s="29"/>
      <c r="P261" s="81"/>
      <c r="Q261" s="82"/>
    </row>
    <row r="262">
      <c r="A262" s="157">
        <v>41423.0</v>
      </c>
      <c r="B262" s="157">
        <v>41423.0</v>
      </c>
      <c r="C262" s="35" t="s">
        <v>185</v>
      </c>
      <c r="D262" s="35" t="s">
        <v>469</v>
      </c>
      <c r="E262" s="86" t="str">
        <f>HYPERLINK("https://youtu.be/tFMcQj5SPuI","LINK - YT")</f>
        <v>LINK - YT</v>
      </c>
      <c r="F262" s="146" t="s">
        <v>1047</v>
      </c>
      <c r="G262" s="78"/>
      <c r="H262" s="149" t="s">
        <v>887</v>
      </c>
      <c r="I262" s="149"/>
      <c r="J262" s="80" t="s">
        <v>1048</v>
      </c>
      <c r="K262" s="80" t="s">
        <v>772</v>
      </c>
      <c r="L262" s="79"/>
      <c r="M262" s="30"/>
      <c r="N262" s="30"/>
      <c r="O262" s="29"/>
      <c r="P262" s="81"/>
      <c r="Q262" s="82"/>
    </row>
    <row r="263">
      <c r="A263" s="157">
        <v>41423.0</v>
      </c>
      <c r="B263" s="157">
        <v>41423.0</v>
      </c>
      <c r="C263" s="35" t="s">
        <v>185</v>
      </c>
      <c r="D263" s="35" t="s">
        <v>469</v>
      </c>
      <c r="E263" s="64"/>
      <c r="F263" s="77"/>
      <c r="G263" s="175" t="str">
        <f>HYPERLINK("https://www.democracynow.org/2013/5/29/julian_assange_stratfor_hacker_jeremy_hammond#transcript","TRANSCRIPT")</f>
        <v>TRANSCRIPT</v>
      </c>
      <c r="H263" s="176" t="s">
        <v>1049</v>
      </c>
      <c r="I263" s="80" t="s">
        <v>1050</v>
      </c>
      <c r="J263" s="80" t="s">
        <v>1048</v>
      </c>
      <c r="K263" s="80" t="s">
        <v>772</v>
      </c>
      <c r="L263" s="79"/>
      <c r="M263" s="30"/>
      <c r="N263" s="30"/>
      <c r="O263" s="29"/>
      <c r="P263" s="81"/>
      <c r="Q263" s="82"/>
    </row>
    <row r="264">
      <c r="A264" s="157">
        <v>41423.0</v>
      </c>
      <c r="B264" s="157">
        <v>41423.0</v>
      </c>
      <c r="C264" s="35" t="s">
        <v>185</v>
      </c>
      <c r="D264" s="35" t="s">
        <v>469</v>
      </c>
      <c r="E264" s="64"/>
      <c r="F264" s="77"/>
      <c r="G264" s="175" t="str">
        <f>HYPERLINK("https://www.democracynow.org/2013/5/29/assange_us_probe_of_wikileaks_show#transcript","TRANSCRIPT")</f>
        <v>TRANSCRIPT</v>
      </c>
      <c r="H264" s="185" t="s">
        <v>1051</v>
      </c>
      <c r="I264" s="80" t="s">
        <v>1045</v>
      </c>
      <c r="J264" s="80" t="s">
        <v>1048</v>
      </c>
      <c r="K264" s="80" t="s">
        <v>772</v>
      </c>
      <c r="L264" s="79"/>
      <c r="M264" s="30"/>
      <c r="N264" s="30"/>
      <c r="O264" s="29"/>
      <c r="P264" s="81"/>
      <c r="Q264" s="82"/>
    </row>
    <row r="265">
      <c r="A265" s="157">
        <v>41423.0</v>
      </c>
      <c r="B265" s="157">
        <v>41423.0</v>
      </c>
      <c r="C265" s="35" t="s">
        <v>185</v>
      </c>
      <c r="D265" s="35" t="s">
        <v>469</v>
      </c>
      <c r="E265" s="64"/>
      <c r="F265" s="77"/>
      <c r="G265" s="175" t="str">
        <f>HYPERLINK("https://www.democracynow.org/2013/5/29/julian_assange_on_meeting_with_google#transcript","TRANSCRIPT")</f>
        <v>TRANSCRIPT</v>
      </c>
      <c r="H265" s="185" t="s">
        <v>1052</v>
      </c>
      <c r="I265" s="80" t="s">
        <v>919</v>
      </c>
      <c r="J265" s="80" t="s">
        <v>1048</v>
      </c>
      <c r="K265" s="80" t="s">
        <v>772</v>
      </c>
      <c r="L265" s="79"/>
      <c r="M265" s="30"/>
      <c r="N265" s="30"/>
      <c r="O265" s="29"/>
      <c r="P265" s="81"/>
      <c r="Q265" s="82"/>
    </row>
    <row r="266">
      <c r="A266" s="160"/>
      <c r="B266" s="157">
        <v>41417.0</v>
      </c>
      <c r="C266" s="35" t="s">
        <v>245</v>
      </c>
      <c r="D266" s="64" t="s">
        <v>1053</v>
      </c>
      <c r="E266" s="36"/>
      <c r="F266" s="64"/>
      <c r="G266" s="175" t="str">
        <f>HYPERLINK("https://wikileaks.org/IMG/html/gibney-transcript.html","Annotated SCRIPT")</f>
        <v>Annotated SCRIPT</v>
      </c>
      <c r="H266" s="186" t="s">
        <v>1054</v>
      </c>
      <c r="I266" s="80"/>
      <c r="J266" s="80"/>
      <c r="K266" s="80"/>
      <c r="L266" s="80"/>
      <c r="M266" s="30"/>
      <c r="N266" s="36"/>
      <c r="O266" s="29"/>
      <c r="P266" s="81"/>
      <c r="Q266" s="82"/>
    </row>
    <row r="267">
      <c r="A267" s="187">
        <v>41415.0</v>
      </c>
      <c r="B267" s="157"/>
      <c r="C267" s="35" t="s">
        <v>185</v>
      </c>
      <c r="D267" s="35" t="s">
        <v>469</v>
      </c>
      <c r="E267" s="86" t="str">
        <f>HYPERLINK("https://youtu.be/kJ7mH81ryeg","LINK - YT")</f>
        <v>LINK - YT</v>
      </c>
      <c r="F267" s="87">
        <v>0.29444444444444445</v>
      </c>
      <c r="G267" s="178"/>
      <c r="H267" s="188" t="s">
        <v>1055</v>
      </c>
      <c r="I267" s="80" t="s">
        <v>1056</v>
      </c>
      <c r="J267" s="80" t="s">
        <v>613</v>
      </c>
      <c r="K267" s="80" t="s">
        <v>614</v>
      </c>
      <c r="L267" s="80" t="s">
        <v>1057</v>
      </c>
      <c r="M267" s="30"/>
      <c r="N267" s="36"/>
      <c r="O267" s="29"/>
      <c r="P267" s="81"/>
      <c r="Q267" s="82"/>
    </row>
    <row r="268">
      <c r="A268" s="160" t="s">
        <v>1058</v>
      </c>
      <c r="B268" s="157">
        <v>41404.0</v>
      </c>
      <c r="C268" s="35" t="s">
        <v>671</v>
      </c>
      <c r="D268" s="35" t="s">
        <v>469</v>
      </c>
      <c r="E268" s="86" t="str">
        <f>HYPERLINK("https://youtu.be/k0Np-DxdHas","LINK - YT")</f>
        <v>LINK - YT</v>
      </c>
      <c r="F268" s="146" t="s">
        <v>1059</v>
      </c>
      <c r="G268" s="178"/>
      <c r="H268" s="188" t="s">
        <v>1060</v>
      </c>
      <c r="I268" s="80"/>
      <c r="J268" s="80" t="s">
        <v>1061</v>
      </c>
      <c r="K268" s="80" t="s">
        <v>614</v>
      </c>
      <c r="L268" s="80" t="s">
        <v>1062</v>
      </c>
      <c r="M268" s="30"/>
      <c r="N268" s="36"/>
      <c r="O268" s="29"/>
      <c r="P268" s="81"/>
      <c r="Q268" s="82"/>
    </row>
    <row r="269">
      <c r="A269" s="157">
        <v>41383.0</v>
      </c>
      <c r="B269" s="157">
        <v>41383.0</v>
      </c>
      <c r="C269" s="35" t="s">
        <v>671</v>
      </c>
      <c r="D269" s="35" t="s">
        <v>1063</v>
      </c>
      <c r="E269" s="86" t="str">
        <f>HYPERLINK("https://archive.org/details/TranscriptOfSecretMeetingBetweenJulianAssangeAndGoogleCEOEricSchmidt","LINK - Archive")</f>
        <v>LINK - Archive</v>
      </c>
      <c r="F269" s="146" t="s">
        <v>1064</v>
      </c>
      <c r="G269" s="122" t="str">
        <f>HYPERLINK("https://archive.org/details/TranscriptOfSecretMeetingBetweenJulianAssangeAndGoogleCEOEricSchmidt","TRANSCRIPT")</f>
        <v>TRANSCRIPT</v>
      </c>
      <c r="H269" s="149" t="s">
        <v>1065</v>
      </c>
      <c r="I269" s="149" t="s">
        <v>1066</v>
      </c>
      <c r="J269" s="149" t="s">
        <v>1067</v>
      </c>
      <c r="K269" s="80" t="s">
        <v>1068</v>
      </c>
      <c r="L269" s="80"/>
      <c r="M269" s="30"/>
      <c r="N269" s="30"/>
      <c r="O269" s="29"/>
      <c r="P269" s="81"/>
      <c r="Q269" s="82"/>
    </row>
    <row r="270">
      <c r="A270" s="157">
        <v>41390.0</v>
      </c>
      <c r="B270" s="157">
        <v>41382.0</v>
      </c>
      <c r="C270" s="35" t="s">
        <v>245</v>
      </c>
      <c r="D270" s="35" t="s">
        <v>412</v>
      </c>
      <c r="E270" s="36"/>
      <c r="F270" s="131"/>
      <c r="G270" s="175" t="str">
        <f>HYPERLINK("https://www.counterpunch.org/2013/04/26/talking-with-julian-assange/","TRANSCRIPT")</f>
        <v>TRANSCRIPT</v>
      </c>
      <c r="H270" s="188" t="s">
        <v>1069</v>
      </c>
      <c r="I270" s="80"/>
      <c r="J270" s="80" t="s">
        <v>1070</v>
      </c>
      <c r="K270" s="80" t="s">
        <v>1071</v>
      </c>
      <c r="L270" s="79"/>
      <c r="M270" s="30"/>
      <c r="N270" s="36"/>
      <c r="O270" s="29"/>
      <c r="P270" s="81"/>
      <c r="Q270" s="82"/>
    </row>
    <row r="271">
      <c r="A271" s="157">
        <v>43184.0</v>
      </c>
      <c r="B271" s="157">
        <v>41373.0</v>
      </c>
      <c r="C271" s="35" t="s">
        <v>185</v>
      </c>
      <c r="D271" s="35" t="s">
        <v>469</v>
      </c>
      <c r="E271" s="86" t="str">
        <f>HYPERLINK("https://youtu.be/sAxx-G7DsRA","LINK - YT")</f>
        <v>LINK - YT</v>
      </c>
      <c r="F271" s="131">
        <v>0.4173611111111111</v>
      </c>
      <c r="G271" s="178"/>
      <c r="H271" s="188" t="s">
        <v>1072</v>
      </c>
      <c r="I271" s="80"/>
      <c r="J271" s="80" t="s">
        <v>1073</v>
      </c>
      <c r="K271" s="80"/>
      <c r="L271" s="79"/>
      <c r="M271" s="30"/>
      <c r="N271" s="86" t="str">
        <f>HYPERLINK("https://globalexchange.org/2013/04/09/and-the-peoples-choice-award-winner-is/","Website")</f>
        <v>Website</v>
      </c>
      <c r="O271" s="29"/>
      <c r="P271" s="81"/>
      <c r="Q271" s="82"/>
    </row>
    <row r="272">
      <c r="A272" s="157">
        <v>41373.0</v>
      </c>
      <c r="B272" s="157">
        <v>41373.0</v>
      </c>
      <c r="C272" s="35" t="s">
        <v>185</v>
      </c>
      <c r="D272" s="35" t="s">
        <v>469</v>
      </c>
      <c r="E272" s="189" t="str">
        <f>HYPERLINK("https://youtu.be/TVReTzYal3I","LINK - YT")</f>
        <v>LINK - YT</v>
      </c>
      <c r="F272" s="190" t="s">
        <v>1074</v>
      </c>
      <c r="G272" s="178"/>
      <c r="H272" s="188" t="s">
        <v>1075</v>
      </c>
      <c r="I272" s="80" t="s">
        <v>1076</v>
      </c>
      <c r="J272" s="80" t="s">
        <v>613</v>
      </c>
      <c r="K272" s="80" t="s">
        <v>772</v>
      </c>
      <c r="L272" s="79" t="s">
        <v>1077</v>
      </c>
      <c r="M272" s="30"/>
      <c r="N272" s="30"/>
      <c r="O272" s="29"/>
      <c r="P272" s="81"/>
      <c r="Q272" s="82"/>
    </row>
    <row r="273">
      <c r="A273" s="157">
        <v>41329.0</v>
      </c>
      <c r="B273" s="157">
        <v>41329.0</v>
      </c>
      <c r="C273" s="35" t="s">
        <v>185</v>
      </c>
      <c r="D273" s="35" t="s">
        <v>469</v>
      </c>
      <c r="E273" s="118" t="str">
        <f>HYPERLINK("https://youtu.be/nr2NWSh9Ir8","LINK - YT")</f>
        <v>LINK - YT</v>
      </c>
      <c r="F273" s="150">
        <v>0.8673611111111111</v>
      </c>
      <c r="G273" s="151"/>
      <c r="H273" s="149" t="s">
        <v>1078</v>
      </c>
      <c r="I273" s="149" t="s">
        <v>1079</v>
      </c>
      <c r="J273" s="80" t="s">
        <v>1080</v>
      </c>
      <c r="K273" s="80" t="s">
        <v>1081</v>
      </c>
      <c r="L273" s="80"/>
      <c r="M273" s="30"/>
      <c r="N273" s="86" t="str">
        <f>HYPERLINK("https://aristeguinoticias.com/2402/mexico/5-revelaciones-del-nuevo-libro-wikileaks-la-jornada/","Commentary on the book")</f>
        <v>Commentary on the book</v>
      </c>
      <c r="O273" s="29"/>
      <c r="P273" s="81"/>
      <c r="Q273" s="82"/>
    </row>
    <row r="274">
      <c r="A274" s="157">
        <v>42302.0</v>
      </c>
      <c r="B274" s="157">
        <v>41313.0</v>
      </c>
      <c r="C274" s="35" t="s">
        <v>185</v>
      </c>
      <c r="D274" s="35" t="s">
        <v>469</v>
      </c>
      <c r="E274" s="118" t="str">
        <f>HYPERLINK("https://youtu.be/F07oalhiq7s","LINK - YT")</f>
        <v>LINK - YT</v>
      </c>
      <c r="F274" s="150">
        <v>0.5493055555555556</v>
      </c>
      <c r="G274" s="151"/>
      <c r="H274" s="149" t="s">
        <v>1082</v>
      </c>
      <c r="I274" s="149"/>
      <c r="J274" s="80" t="s">
        <v>1083</v>
      </c>
      <c r="K274" s="80" t="s">
        <v>1084</v>
      </c>
      <c r="L274" s="80"/>
      <c r="M274" s="30"/>
      <c r="N274" s="30"/>
      <c r="O274" s="29"/>
      <c r="P274" s="81"/>
      <c r="Q274" s="82"/>
    </row>
    <row r="275">
      <c r="A275" s="157">
        <v>41309.0</v>
      </c>
      <c r="B275" s="157">
        <v>41308.0</v>
      </c>
      <c r="C275" s="35" t="s">
        <v>245</v>
      </c>
      <c r="D275" s="35" t="s">
        <v>534</v>
      </c>
      <c r="E275" s="36"/>
      <c r="F275" s="64"/>
      <c r="G275" s="122" t="str">
        <f>HYPERLINK("http://www.twitlonger.com/show/ku2ld8","TEXT")</f>
        <v>TEXT</v>
      </c>
      <c r="H275" s="149" t="s">
        <v>1085</v>
      </c>
      <c r="I275" s="79"/>
      <c r="J275" s="80"/>
      <c r="K275" s="80"/>
      <c r="L275" s="79"/>
      <c r="M275" s="30"/>
      <c r="N275" s="86" t="str">
        <f>HYPERLINK("http://imaginepeace.com/archives/19347","Imagine Peace")</f>
        <v>Imagine Peace</v>
      </c>
      <c r="O275" s="29"/>
      <c r="P275" s="81"/>
      <c r="Q275" s="82"/>
    </row>
    <row r="276">
      <c r="A276" s="157">
        <v>41299.0</v>
      </c>
      <c r="B276" s="157">
        <v>41299.0</v>
      </c>
      <c r="C276" s="35" t="s">
        <v>185</v>
      </c>
      <c r="D276" s="35" t="s">
        <v>469</v>
      </c>
      <c r="E276" s="86" t="str">
        <f>HYPERLINK("https://youtu.be/4vQNWYnQjUE","LINK - YT")</f>
        <v>LINK - YT</v>
      </c>
      <c r="F276" s="146" t="s">
        <v>1086</v>
      </c>
      <c r="G276" s="78"/>
      <c r="H276" s="149" t="s">
        <v>1087</v>
      </c>
      <c r="I276" s="79"/>
      <c r="J276" s="80" t="s">
        <v>613</v>
      </c>
      <c r="K276" s="80" t="s">
        <v>1088</v>
      </c>
      <c r="L276" s="79"/>
      <c r="M276" s="30"/>
      <c r="N276" s="86" t="str">
        <f>HYPERLINK("https://samadamsaward.ch/julian-assange/","LINK - Website")</f>
        <v>LINK - Website</v>
      </c>
      <c r="O276" s="29"/>
      <c r="P276" s="81"/>
      <c r="Q276" s="82"/>
    </row>
    <row r="277">
      <c r="A277" s="191">
        <v>41263.0</v>
      </c>
      <c r="B277" s="191">
        <v>41263.0</v>
      </c>
      <c r="C277" s="35" t="s">
        <v>185</v>
      </c>
      <c r="D277" s="35" t="s">
        <v>469</v>
      </c>
      <c r="E277" s="86" t="str">
        <f>HYPERLINK("https://youtu.be/b_Gy3UaHBXo","LINK - YT")</f>
        <v>LINK - YT</v>
      </c>
      <c r="F277" s="131">
        <v>0.53125</v>
      </c>
      <c r="G277" s="122" t="str">
        <f>HYPERLINK("https://wiseupaction.info/julian-assange-landmark-speeches-3/","TRANSCRIPT")</f>
        <v>TRANSCRIPT</v>
      </c>
      <c r="H277" s="149" t="s">
        <v>1089</v>
      </c>
      <c r="I277" s="79"/>
      <c r="J277" s="80" t="s">
        <v>613</v>
      </c>
      <c r="K277" s="80" t="s">
        <v>661</v>
      </c>
      <c r="L277" s="79"/>
      <c r="M277" s="30"/>
      <c r="N277" s="30"/>
      <c r="O277" s="29"/>
      <c r="P277" s="81"/>
      <c r="Q277" s="82"/>
    </row>
    <row r="278">
      <c r="A278" s="191">
        <v>41259.0</v>
      </c>
      <c r="B278" s="191"/>
      <c r="C278" s="35" t="s">
        <v>245</v>
      </c>
      <c r="D278" s="35"/>
      <c r="E278" s="36"/>
      <c r="F278" s="64"/>
      <c r="G278" s="122" t="str">
        <f>HYPERLINK("https://wikileaks.org/WikiLeaks-declares-war-on-banking.html","TRANSCRIPT")</f>
        <v>TRANSCRIPT</v>
      </c>
      <c r="H278" s="149" t="s">
        <v>1090</v>
      </c>
      <c r="I278" s="80"/>
      <c r="J278" s="80"/>
      <c r="K278" s="80" t="s">
        <v>1091</v>
      </c>
      <c r="L278" s="79"/>
      <c r="M278" s="30"/>
      <c r="N278" s="30"/>
      <c r="O278" s="29"/>
      <c r="P278" s="81"/>
      <c r="Q278" s="82"/>
    </row>
    <row r="279">
      <c r="A279" s="191">
        <v>41178.0</v>
      </c>
      <c r="B279" s="191">
        <v>41178.0</v>
      </c>
      <c r="C279" s="35" t="s">
        <v>185</v>
      </c>
      <c r="D279" s="35" t="s">
        <v>469</v>
      </c>
      <c r="E279" s="86" t="str">
        <f>HYPERLINK("https://youtu.be/j0FCxZAYUKc","LINK - YT")</f>
        <v>LINK - YT</v>
      </c>
      <c r="F279" s="146" t="s">
        <v>1092</v>
      </c>
      <c r="G279" s="122" t="str">
        <f>HYPERLINK("https://wiseupaction.info/julian-assange-landmark-speeches-2/","TRANSCRIPT")</f>
        <v>TRANSCRIPT</v>
      </c>
      <c r="H279" s="149" t="s">
        <v>1093</v>
      </c>
      <c r="I279" s="80" t="s">
        <v>1094</v>
      </c>
      <c r="J279" s="80" t="s">
        <v>613</v>
      </c>
      <c r="K279" s="80" t="s">
        <v>772</v>
      </c>
      <c r="L279" s="79"/>
      <c r="M279" s="30"/>
      <c r="N279" s="86" t="str">
        <f>HYPERLINK("https://wikileaks.org/Background-for-UN-Talk-Ongoing.html","Background Document")</f>
        <v>Background Document</v>
      </c>
      <c r="O279" s="29"/>
      <c r="P279" s="81"/>
      <c r="Q279" s="82"/>
    </row>
    <row r="280">
      <c r="A280" s="191">
        <v>41178.0</v>
      </c>
      <c r="B280" s="191">
        <v>41178.0</v>
      </c>
      <c r="C280" s="35" t="s">
        <v>245</v>
      </c>
      <c r="D280" s="35" t="s">
        <v>1095</v>
      </c>
      <c r="E280" s="36"/>
      <c r="F280" s="64"/>
      <c r="G280" s="122" t="str">
        <f>HYPERLINK("https://wikileaks.org/Background-for-UN-Talk-Ongoing.html","STATEMENT")</f>
        <v>STATEMENT</v>
      </c>
      <c r="H280" s="149" t="s">
        <v>1096</v>
      </c>
      <c r="I280" s="80" t="s">
        <v>1097</v>
      </c>
      <c r="J280" s="80"/>
      <c r="K280" s="80"/>
      <c r="L280" s="79"/>
      <c r="M280" s="30"/>
      <c r="N280" s="36"/>
      <c r="O280" s="29"/>
      <c r="P280" s="81"/>
      <c r="Q280" s="82"/>
    </row>
    <row r="281">
      <c r="A281" s="191">
        <v>41152.0</v>
      </c>
      <c r="B281" s="191">
        <v>41150.0</v>
      </c>
      <c r="C281" s="35" t="s">
        <v>185</v>
      </c>
      <c r="D281" s="35" t="s">
        <v>469</v>
      </c>
      <c r="E281" s="86" t="str">
        <f>HYPERLINK("https://youtu.be/d7oOMEeaGFc","LINK - YT")</f>
        <v>LINK - YT</v>
      </c>
      <c r="F281" s="154">
        <v>0.08898148148148148</v>
      </c>
      <c r="G281" s="153"/>
      <c r="H281" s="149" t="s">
        <v>1098</v>
      </c>
      <c r="I281" s="80" t="s">
        <v>1099</v>
      </c>
      <c r="J281" s="80" t="s">
        <v>1100</v>
      </c>
      <c r="K281" s="80" t="s">
        <v>1101</v>
      </c>
      <c r="L281" s="80" t="s">
        <v>1102</v>
      </c>
      <c r="M281" s="30"/>
      <c r="N281" s="30"/>
      <c r="O281" s="29"/>
      <c r="P281" s="81"/>
      <c r="Q281" s="82"/>
    </row>
    <row r="282">
      <c r="A282" s="191">
        <v>41140.0</v>
      </c>
      <c r="B282" s="191">
        <v>41140.0</v>
      </c>
      <c r="C282" s="35" t="s">
        <v>185</v>
      </c>
      <c r="D282" s="35" t="s">
        <v>469</v>
      </c>
      <c r="E282" s="86" t="str">
        <f>HYPERLINK("https://youtu.be/Yr8d8BLBymI","LINK - YT")</f>
        <v>LINK - YT</v>
      </c>
      <c r="F282" s="64"/>
      <c r="G282" s="122" t="str">
        <f>HYPERLINK("https://wiseupaction.info/julian-assange-landmark-speeches-1/","TRANSCRIPT")</f>
        <v>TRANSCRIPT</v>
      </c>
      <c r="H282" s="149" t="s">
        <v>1103</v>
      </c>
      <c r="I282" s="80"/>
      <c r="J282" s="80" t="s">
        <v>1104</v>
      </c>
      <c r="K282" s="80"/>
      <c r="L282" s="79"/>
      <c r="M282" s="30"/>
      <c r="N282" s="30"/>
      <c r="O282" s="29"/>
      <c r="P282" s="81"/>
      <c r="Q282" s="82"/>
    </row>
    <row r="283">
      <c r="A283" s="130">
        <v>41137.0</v>
      </c>
      <c r="B283" s="130">
        <v>41137.0</v>
      </c>
      <c r="C283" s="130" t="s">
        <v>481</v>
      </c>
      <c r="D283" s="35"/>
      <c r="E283" s="36"/>
      <c r="F283" s="77"/>
      <c r="G283" s="78"/>
      <c r="H283" s="133" t="s">
        <v>1105</v>
      </c>
      <c r="I283" s="79"/>
      <c r="J283" s="80" t="s">
        <v>613</v>
      </c>
      <c r="K283" s="80"/>
      <c r="L283" s="79"/>
      <c r="M283" s="30"/>
      <c r="N283" s="30"/>
      <c r="O283" s="36"/>
      <c r="P283" s="81"/>
      <c r="Q283" s="82"/>
    </row>
    <row r="284">
      <c r="A284" s="191">
        <v>41082.0</v>
      </c>
      <c r="B284" s="191">
        <v>41082.0</v>
      </c>
      <c r="C284" s="35" t="s">
        <v>671</v>
      </c>
      <c r="D284" s="35" t="s">
        <v>1026</v>
      </c>
      <c r="E284" s="86" t="str">
        <f>HYPERLINK("https://youtu.be/akGCdUwaVf0","LINK - YT")</f>
        <v>LINK - YT</v>
      </c>
      <c r="F284" s="87"/>
      <c r="G284" s="153"/>
      <c r="H284" s="149" t="s">
        <v>1106</v>
      </c>
      <c r="I284" s="80"/>
      <c r="J284" s="80" t="s">
        <v>1107</v>
      </c>
      <c r="K284" s="80"/>
      <c r="L284" s="79"/>
      <c r="M284" s="30"/>
      <c r="N284" s="36"/>
      <c r="O284" s="91"/>
      <c r="P284" s="81"/>
      <c r="Q284" s="82"/>
    </row>
    <row r="285">
      <c r="A285" s="130">
        <v>41079.0</v>
      </c>
      <c r="B285" s="130">
        <v>41079.0</v>
      </c>
      <c r="C285" s="130" t="s">
        <v>481</v>
      </c>
      <c r="D285" s="35"/>
      <c r="E285" s="36"/>
      <c r="F285" s="77"/>
      <c r="G285" s="78"/>
      <c r="H285" s="133" t="s">
        <v>1108</v>
      </c>
      <c r="I285" s="79"/>
      <c r="J285" s="80"/>
      <c r="K285" s="80"/>
      <c r="L285" s="79"/>
      <c r="M285" s="30"/>
      <c r="N285" s="30"/>
      <c r="O285" s="36"/>
      <c r="P285" s="81"/>
      <c r="Q285" s="82"/>
    </row>
    <row r="286">
      <c r="A286" s="191">
        <v>41051.0</v>
      </c>
      <c r="B286" s="191"/>
      <c r="C286" s="35" t="s">
        <v>185</v>
      </c>
      <c r="D286" s="35" t="s">
        <v>469</v>
      </c>
      <c r="E286" s="86" t="str">
        <f>HYPERLINK("https://youtu.be/MwHpJn3nqOU","Link - YT")</f>
        <v>Link - YT</v>
      </c>
      <c r="F286" s="87">
        <v>0.9340277777777778</v>
      </c>
      <c r="G286" s="153"/>
      <c r="H286" s="149" t="s">
        <v>1109</v>
      </c>
      <c r="I286" s="80"/>
      <c r="J286" s="80" t="s">
        <v>613</v>
      </c>
      <c r="K286" s="80"/>
      <c r="L286" s="79"/>
      <c r="M286" s="30"/>
      <c r="N286" s="86" t="str">
        <f>HYPERLINK("https://i.pinimg.com/564x/b8/e7/6e/b8e76e953062d9c875a5f812a5983810.jpg","MEME")</f>
        <v>MEME</v>
      </c>
      <c r="O286" s="96" t="str">
        <f>HYPERLINK("https://i.pinimg.com/564x/63/c1/5e/63c15ef1b02a4fa1bf48b01722899d48.jpg","MEME")</f>
        <v>MEME</v>
      </c>
      <c r="P286" s="81"/>
      <c r="Q286" s="82"/>
    </row>
    <row r="287">
      <c r="A287" s="191">
        <v>40972.0</v>
      </c>
      <c r="B287" s="191">
        <v>40969.0</v>
      </c>
      <c r="C287" s="35" t="s">
        <v>185</v>
      </c>
      <c r="D287" s="35" t="s">
        <v>907</v>
      </c>
      <c r="E287" s="86" t="str">
        <f>HYPERLINK("https://vimeo.com/37900349","LINK - VIMEO")</f>
        <v>LINK - VIMEO</v>
      </c>
      <c r="F287" s="87">
        <v>0.12638888888888888</v>
      </c>
      <c r="G287" s="153"/>
      <c r="H287" s="149" t="s">
        <v>1110</v>
      </c>
      <c r="I287" s="80" t="s">
        <v>1111</v>
      </c>
      <c r="J287" s="80" t="s">
        <v>1112</v>
      </c>
      <c r="K287" s="80" t="s">
        <v>1113</v>
      </c>
      <c r="L287" s="79"/>
      <c r="M287" s="30"/>
      <c r="N287" s="36"/>
      <c r="O287" s="91"/>
      <c r="P287" s="81"/>
      <c r="Q287" s="82"/>
    </row>
    <row r="288">
      <c r="A288" s="191">
        <v>40926.0</v>
      </c>
      <c r="B288" s="191"/>
      <c r="C288" s="35" t="s">
        <v>245</v>
      </c>
      <c r="D288" s="64" t="s">
        <v>1114</v>
      </c>
      <c r="E288" s="36"/>
      <c r="F288" s="87"/>
      <c r="G288" s="122" t="str">
        <f>HYPERLINK("https://www.rollingstone.com/politics/politics-news/julian-assange-the-rolling-stone-interview-234403/","LINK - Article")</f>
        <v>LINK - Article</v>
      </c>
      <c r="H288" s="149" t="s">
        <v>1115</v>
      </c>
      <c r="I288" s="80"/>
      <c r="J288" s="80" t="s">
        <v>1116</v>
      </c>
      <c r="K288" s="80" t="s">
        <v>1117</v>
      </c>
      <c r="L288" s="79"/>
      <c r="M288" s="30"/>
      <c r="N288" s="86" t="str">
        <f>HYPERLINK("https://youtu.be/tFFCtFr0o1o","VIDEO Discussion")</f>
        <v>VIDEO Discussion</v>
      </c>
      <c r="O288" s="91"/>
      <c r="P288" s="81"/>
      <c r="Q288" s="82"/>
    </row>
    <row r="289">
      <c r="A289" s="111">
        <v>40878.0</v>
      </c>
      <c r="B289" s="111">
        <v>40878.0</v>
      </c>
      <c r="C289" s="192" t="s">
        <v>481</v>
      </c>
      <c r="D289" s="192"/>
      <c r="E289" s="193"/>
      <c r="F289" s="194"/>
      <c r="G289" s="195"/>
      <c r="H289" s="196" t="s">
        <v>1118</v>
      </c>
      <c r="I289" s="196"/>
      <c r="J289" s="196"/>
      <c r="K289" s="197"/>
      <c r="L289" s="197"/>
      <c r="M289" s="198"/>
      <c r="N289" s="193"/>
      <c r="O289" s="199"/>
      <c r="P289" s="81"/>
      <c r="Q289" s="82"/>
    </row>
    <row r="290">
      <c r="A290" s="200">
        <v>40878.0</v>
      </c>
      <c r="B290" s="200">
        <v>40878.0</v>
      </c>
      <c r="C290" s="35" t="s">
        <v>185</v>
      </c>
      <c r="D290" s="35" t="s">
        <v>413</v>
      </c>
      <c r="E290" s="86" t="str">
        <f>HYPERLINK("https://wikileaks.org/spyfiles/about/","LINK - WL")</f>
        <v>LINK - WL</v>
      </c>
      <c r="F290" s="131"/>
      <c r="G290" s="122" t="str">
        <f>HYPERLINK("https://wikileaks.org/spyfiles/about/","STATEMENT")</f>
        <v>STATEMENT</v>
      </c>
      <c r="H290" s="149" t="s">
        <v>1119</v>
      </c>
      <c r="I290" s="80" t="s">
        <v>1120</v>
      </c>
      <c r="J290" s="80" t="s">
        <v>613</v>
      </c>
      <c r="K290" s="79"/>
      <c r="L290" s="79"/>
      <c r="M290" s="30"/>
      <c r="N290" s="86" t="str">
        <f>HYPERLINK("https://youtu.be/rSGQ63lOpUE","VIDEO - AnonScan version")</f>
        <v>VIDEO - AnonScan version</v>
      </c>
      <c r="O290" s="29"/>
      <c r="P290" s="81"/>
      <c r="Q290" s="82"/>
    </row>
    <row r="291">
      <c r="A291" s="200">
        <v>40877.0</v>
      </c>
      <c r="B291" s="200">
        <v>40877.0</v>
      </c>
      <c r="C291" s="35" t="s">
        <v>245</v>
      </c>
      <c r="D291" s="35" t="s">
        <v>413</v>
      </c>
      <c r="E291" s="36"/>
      <c r="F291" s="131"/>
      <c r="G291" s="122" t="str">
        <f>HYPERLINK("https://www.wikileaks.org/Guardian-s-WikiLeaks-Secrets-and.html","STATEMENT")</f>
        <v>STATEMENT</v>
      </c>
      <c r="H291" s="149" t="s">
        <v>1121</v>
      </c>
      <c r="I291" s="79"/>
      <c r="J291" s="80"/>
      <c r="K291" s="79"/>
      <c r="L291" s="79"/>
      <c r="M291" s="30"/>
      <c r="N291" s="30"/>
      <c r="O291" s="29"/>
      <c r="P291" s="81"/>
      <c r="Q291" s="82"/>
    </row>
    <row r="292">
      <c r="A292" s="200">
        <v>40875.0</v>
      </c>
      <c r="B292" s="200"/>
      <c r="C292" s="35" t="s">
        <v>185</v>
      </c>
      <c r="D292" s="35" t="s">
        <v>469</v>
      </c>
      <c r="E292" s="86" t="str">
        <f>HYPERLINK("https://youtu.be/_A0l4-ixBdE","LINK - YT")</f>
        <v>LINK - YT</v>
      </c>
      <c r="F292" s="131">
        <v>0.2701388888888889</v>
      </c>
      <c r="G292" s="122" t="str">
        <f>HYPERLINK("https://www.democracynow.org/2011/11/28/wikileaks_julian_assange_win_major_australian","TRANSCRIPT")</f>
        <v>TRANSCRIPT</v>
      </c>
      <c r="H292" s="149" t="s">
        <v>1122</v>
      </c>
      <c r="I292" s="79"/>
      <c r="J292" s="80" t="s">
        <v>1123</v>
      </c>
      <c r="K292" s="79"/>
      <c r="L292" s="79"/>
      <c r="M292" s="30"/>
      <c r="N292" s="30"/>
      <c r="O292" s="29"/>
      <c r="P292" s="81"/>
      <c r="Q292" s="82"/>
    </row>
    <row r="293">
      <c r="A293" s="201">
        <v>2011.0</v>
      </c>
      <c r="B293" s="201">
        <v>2011.0</v>
      </c>
      <c r="C293" s="35" t="s">
        <v>185</v>
      </c>
      <c r="D293" s="35" t="s">
        <v>469</v>
      </c>
      <c r="E293" s="86" t="str">
        <f>HYPERLINK("https://youtu.be/cY3jnJt12Jk","LINK - YT")</f>
        <v>LINK - YT</v>
      </c>
      <c r="F293" s="146" t="s">
        <v>1124</v>
      </c>
      <c r="G293" s="78"/>
      <c r="H293" s="149" t="s">
        <v>1125</v>
      </c>
      <c r="I293" s="80"/>
      <c r="J293" s="80" t="s">
        <v>846</v>
      </c>
      <c r="K293" s="80" t="s">
        <v>1117</v>
      </c>
      <c r="L293" s="80" t="s">
        <v>1126</v>
      </c>
      <c r="M293" s="30"/>
      <c r="N293" s="30"/>
      <c r="O293" s="36"/>
      <c r="P293" s="81"/>
      <c r="Q293" s="82"/>
    </row>
    <row r="294">
      <c r="A294" s="202">
        <v>43294.0</v>
      </c>
      <c r="B294" s="200">
        <v>40831.0</v>
      </c>
      <c r="C294" s="35" t="s">
        <v>185</v>
      </c>
      <c r="D294" s="35" t="s">
        <v>1127</v>
      </c>
      <c r="E294" s="86" t="str">
        <f>HYPERLINK("https://youtu.be/M97uiyOxjpY","LINK - YT")</f>
        <v>LINK - YT</v>
      </c>
      <c r="F294" s="87">
        <v>0.44027777777777777</v>
      </c>
      <c r="G294" s="78"/>
      <c r="H294" s="149" t="s">
        <v>1128</v>
      </c>
      <c r="I294" s="80" t="s">
        <v>1129</v>
      </c>
      <c r="J294" s="80" t="s">
        <v>613</v>
      </c>
      <c r="K294" s="80" t="s">
        <v>1117</v>
      </c>
      <c r="L294" s="80" t="s">
        <v>1130</v>
      </c>
      <c r="M294" s="30"/>
      <c r="N294" s="30"/>
      <c r="O294" s="36"/>
      <c r="P294" s="81"/>
      <c r="Q294" s="82"/>
    </row>
    <row r="295">
      <c r="A295" s="202">
        <v>40831.0</v>
      </c>
      <c r="B295" s="200"/>
      <c r="C295" s="35" t="s">
        <v>245</v>
      </c>
      <c r="D295" s="35" t="s">
        <v>1131</v>
      </c>
      <c r="E295" s="36"/>
      <c r="F295" s="64"/>
      <c r="G295" s="122" t="str">
        <f>HYPERLINK("https://amp.smh.com.au/entertainment/books/who-wouldnt-shout-with-the-stakes-so-high-20111014-1lp02.html?__twitter_impression=true","OpEd")</f>
        <v>OpEd</v>
      </c>
      <c r="H295" s="149" t="s">
        <v>1132</v>
      </c>
      <c r="I295" s="80"/>
      <c r="J295" s="80"/>
      <c r="K295" s="80"/>
      <c r="L295" s="80" t="s">
        <v>1133</v>
      </c>
      <c r="M295" s="30"/>
      <c r="N295" s="30"/>
      <c r="O295" s="86" t="str">
        <f>HYPERLINK("https://twitter.com/LaFleurDelSur/status/1235619048135802881","Tweet")</f>
        <v>Tweet</v>
      </c>
      <c r="P295" s="81"/>
      <c r="Q295" s="82"/>
    </row>
    <row r="296">
      <c r="A296" s="202">
        <v>40832.0</v>
      </c>
      <c r="B296" s="200">
        <v>40831.0</v>
      </c>
      <c r="C296" s="35" t="s">
        <v>185</v>
      </c>
      <c r="D296" s="35" t="s">
        <v>469</v>
      </c>
      <c r="E296" s="86" t="str">
        <f>HYPERLINK("https://youtu.be/oEL6g8Njq3o","LINK - YT")</f>
        <v>LINK - YT</v>
      </c>
      <c r="F296" s="64"/>
      <c r="G296" s="78"/>
      <c r="H296" s="149" t="s">
        <v>1134</v>
      </c>
      <c r="I296" s="80" t="s">
        <v>1135</v>
      </c>
      <c r="J296" s="80" t="s">
        <v>613</v>
      </c>
      <c r="K296" s="80" t="s">
        <v>1117</v>
      </c>
      <c r="L296" s="79"/>
      <c r="M296" s="30"/>
      <c r="N296" s="30"/>
      <c r="O296" s="36"/>
      <c r="P296" s="81"/>
      <c r="Q296" s="82"/>
    </row>
    <row r="297">
      <c r="A297" s="202">
        <v>40825.0</v>
      </c>
      <c r="B297" s="200">
        <v>40824.0</v>
      </c>
      <c r="C297" s="35" t="s">
        <v>185</v>
      </c>
      <c r="D297" s="35" t="s">
        <v>469</v>
      </c>
      <c r="E297" s="86" t="str">
        <f>HYPERLINK("https://youtu.be/ijTEQxR07Iw","LINK - YT")</f>
        <v>LINK - YT</v>
      </c>
      <c r="F297" s="87">
        <v>0.28888888888888886</v>
      </c>
      <c r="G297" s="78"/>
      <c r="H297" s="149" t="s">
        <v>1136</v>
      </c>
      <c r="I297" s="80" t="s">
        <v>1135</v>
      </c>
      <c r="J297" s="80" t="s">
        <v>613</v>
      </c>
      <c r="K297" s="80" t="s">
        <v>1117</v>
      </c>
      <c r="L297" s="80" t="s">
        <v>1137</v>
      </c>
      <c r="M297" s="30"/>
      <c r="N297" s="30"/>
      <c r="O297" s="36"/>
      <c r="P297" s="81"/>
      <c r="Q297" s="82"/>
    </row>
    <row r="298">
      <c r="A298" s="201" t="s">
        <v>1138</v>
      </c>
      <c r="B298" s="200">
        <v>40824.0</v>
      </c>
      <c r="C298" s="35" t="s">
        <v>185</v>
      </c>
      <c r="D298" s="35" t="s">
        <v>1139</v>
      </c>
      <c r="E298" s="86" t="str">
        <f>HYPERLINK("https://dotsub.com/view/56205f17-d0a8-4078-b559-ac50c14a4e88","LINK - dotsub")</f>
        <v>LINK - dotsub</v>
      </c>
      <c r="F298" s="146" t="s">
        <v>1140</v>
      </c>
      <c r="G298" s="78"/>
      <c r="H298" s="149" t="s">
        <v>1141</v>
      </c>
      <c r="I298" s="79"/>
      <c r="J298" s="80" t="s">
        <v>613</v>
      </c>
      <c r="K298" s="80" t="s">
        <v>1142</v>
      </c>
      <c r="L298" s="79"/>
      <c r="M298" s="30"/>
      <c r="N298" s="30"/>
      <c r="O298" s="36"/>
      <c r="P298" s="81"/>
      <c r="Q298" s="82"/>
    </row>
    <row r="299">
      <c r="A299" s="200">
        <v>40787.0</v>
      </c>
      <c r="B299" s="200">
        <v>40787.0</v>
      </c>
      <c r="C299" s="35" t="s">
        <v>245</v>
      </c>
      <c r="D299" s="35" t="s">
        <v>413</v>
      </c>
      <c r="E299" s="36"/>
      <c r="F299" s="64"/>
      <c r="G299" s="122" t="str">
        <f>HYPERLINK("https://archive.is/sM27E","STATEMENT")</f>
        <v>STATEMENT</v>
      </c>
      <c r="H299" s="149" t="s">
        <v>1143</v>
      </c>
      <c r="I299" s="80" t="s">
        <v>1144</v>
      </c>
      <c r="J299" s="80" t="s">
        <v>413</v>
      </c>
      <c r="K299" s="80"/>
      <c r="L299" s="79"/>
      <c r="M299" s="30"/>
      <c r="N299" s="36"/>
      <c r="O299" s="36"/>
      <c r="P299" s="81"/>
      <c r="Q299" s="82"/>
    </row>
    <row r="300">
      <c r="A300" s="200">
        <v>40729.0</v>
      </c>
      <c r="B300" s="200">
        <v>40726.0</v>
      </c>
      <c r="C300" s="35" t="s">
        <v>185</v>
      </c>
      <c r="D300" s="35" t="s">
        <v>469</v>
      </c>
      <c r="E300" s="86" t="str">
        <f>HYPERLINK("https://www.youtube.com/attribution_link?a=ROhrMEb7H6I&amp;u=/watch%3Fv%3Dj1Xm08uTSDQ%26feature%3Dshare","LINK - YT")</f>
        <v>LINK - YT</v>
      </c>
      <c r="F300" s="146" t="s">
        <v>1145</v>
      </c>
      <c r="G300" s="122" t="str">
        <f>HYPERLINK("https://www.democracynow.org/2011/7/5/exclusive_julian_assange_of_wikileaks_philosopher","TRANSCRIPT (Partial)")</f>
        <v>TRANSCRIPT (Partial)</v>
      </c>
      <c r="H300" s="149" t="s">
        <v>1146</v>
      </c>
      <c r="I300" s="80" t="s">
        <v>1147</v>
      </c>
      <c r="J300" s="80" t="s">
        <v>1148</v>
      </c>
      <c r="K300" s="80" t="s">
        <v>1142</v>
      </c>
      <c r="L300" s="79"/>
      <c r="M300" s="30"/>
      <c r="N300" s="86" t="str">
        <f>HYPERLINK("https://weltnetz.tv/video/118-democracy-now-im-gespraech-julian-assange-und-slavoj-zizek-mit-amy-goodman","Another TRANSCRIPT")</f>
        <v>Another TRANSCRIPT</v>
      </c>
      <c r="O300" s="36"/>
      <c r="P300" s="81"/>
      <c r="Q300" s="82"/>
    </row>
    <row r="301">
      <c r="A301" s="203">
        <v>40695.0</v>
      </c>
      <c r="B301" s="203">
        <v>40695.0</v>
      </c>
      <c r="C301" s="35" t="s">
        <v>245</v>
      </c>
      <c r="D301" s="35" t="s">
        <v>1149</v>
      </c>
      <c r="E301" s="36"/>
      <c r="F301" s="87"/>
      <c r="G301" s="122" t="str">
        <f>HYPERLINK("https://www.e-flux.com/journal/26/67921/in-conversation-with-julian-assange-part-ii/","ARTICLE")</f>
        <v>ARTICLE</v>
      </c>
      <c r="H301" s="149" t="s">
        <v>1150</v>
      </c>
      <c r="I301" s="80"/>
      <c r="J301" s="80" t="s">
        <v>1151</v>
      </c>
      <c r="K301" s="80" t="s">
        <v>1152</v>
      </c>
      <c r="L301" s="80" t="s">
        <v>1153</v>
      </c>
      <c r="M301" s="30"/>
      <c r="N301" s="30"/>
      <c r="O301" s="36"/>
      <c r="P301" s="81"/>
      <c r="Q301" s="82"/>
    </row>
    <row r="302">
      <c r="A302" s="200">
        <v>42985.0</v>
      </c>
      <c r="B302" s="200">
        <v>40717.0</v>
      </c>
      <c r="C302" s="35" t="s">
        <v>671</v>
      </c>
      <c r="D302" s="35" t="s">
        <v>469</v>
      </c>
      <c r="E302" s="86" t="str">
        <f>HYPERLINK("https://youtu.be/DZEAL42ZKZQ","LINK - YT")</f>
        <v>LINK - YT</v>
      </c>
      <c r="F302" s="204">
        <v>0.13359953703703703</v>
      </c>
      <c r="G302" s="78"/>
      <c r="H302" s="149" t="s">
        <v>1154</v>
      </c>
      <c r="I302" s="80" t="s">
        <v>1155</v>
      </c>
      <c r="J302" s="80" t="s">
        <v>1156</v>
      </c>
      <c r="K302" s="80" t="s">
        <v>614</v>
      </c>
      <c r="L302" s="205"/>
      <c r="M302" s="30"/>
      <c r="N302" s="36" t="s">
        <v>1157</v>
      </c>
      <c r="O302" s="36"/>
      <c r="P302" s="81"/>
      <c r="Q302" s="82"/>
    </row>
    <row r="303">
      <c r="A303" s="200">
        <v>40725.0</v>
      </c>
      <c r="B303" s="200">
        <v>40715.0</v>
      </c>
      <c r="C303" s="35" t="s">
        <v>185</v>
      </c>
      <c r="D303" s="35" t="s">
        <v>469</v>
      </c>
      <c r="E303" s="86" t="str">
        <f>HYPERLINK("https://youtu.be/G7kFC6KSNVc","LINK - YT")</f>
        <v>LINK - YT</v>
      </c>
      <c r="F303" s="87">
        <v>0.041666666666666664</v>
      </c>
      <c r="G303" s="78"/>
      <c r="H303" s="149" t="s">
        <v>1158</v>
      </c>
      <c r="I303" s="80" t="s">
        <v>1159</v>
      </c>
      <c r="J303" s="80"/>
      <c r="K303" s="80"/>
      <c r="L303" s="205"/>
      <c r="M303" s="30"/>
      <c r="N303" s="86" t="str">
        <f>HYPERLINK("https://vimeo.com/25412550","LINK - VIMEO")</f>
        <v>LINK - VIMEO</v>
      </c>
      <c r="O303" s="36"/>
      <c r="P303" s="81"/>
      <c r="Q303" s="82"/>
    </row>
    <row r="304">
      <c r="A304" s="200">
        <v>40694.0</v>
      </c>
      <c r="B304" s="206">
        <v>40694.0</v>
      </c>
      <c r="C304" s="35" t="s">
        <v>185</v>
      </c>
      <c r="D304" s="35" t="s">
        <v>469</v>
      </c>
      <c r="E304" s="86" t="str">
        <f>HYPERLINK("https://youtu.be/jegElF1akjc","LINK - YT")</f>
        <v>LINK - YT</v>
      </c>
      <c r="F304" s="87">
        <v>0.3729166666666667</v>
      </c>
      <c r="G304" s="78"/>
      <c r="H304" s="149" t="s">
        <v>1160</v>
      </c>
      <c r="I304" s="80" t="s">
        <v>1161</v>
      </c>
      <c r="J304" s="80" t="s">
        <v>613</v>
      </c>
      <c r="K304" s="80" t="s">
        <v>1162</v>
      </c>
      <c r="L304" s="207" t="str">
        <f>HYPERLINK("https://www.belfasttelegraph.co.uk/life/features/wikileaks-julian-assange-interview-why-the-us-will-stop-at-nothing-to-silence-me-28622346.html","Linked to this article 31 May 2011 article by Shane Doran?")</f>
        <v>Linked to this article 31 May 2011 article by Shane Doran?</v>
      </c>
      <c r="M304" s="30"/>
      <c r="N304" s="30"/>
      <c r="O304" s="36"/>
      <c r="P304" s="81"/>
      <c r="Q304" s="82"/>
    </row>
    <row r="305">
      <c r="A305" s="200">
        <v>40694.0</v>
      </c>
      <c r="B305" s="206">
        <v>40694.0</v>
      </c>
      <c r="C305" s="35" t="s">
        <v>185</v>
      </c>
      <c r="D305" s="35" t="s">
        <v>469</v>
      </c>
      <c r="E305" s="86" t="str">
        <f>HYPERLINK("https://youtu.be/w474pvZwGQk","LINK - YT")</f>
        <v>LINK - YT</v>
      </c>
      <c r="F305" s="87">
        <v>0.48125</v>
      </c>
      <c r="G305" s="78"/>
      <c r="H305" s="149" t="s">
        <v>1163</v>
      </c>
      <c r="I305" s="80" t="s">
        <v>1164</v>
      </c>
      <c r="J305" s="80" t="s">
        <v>613</v>
      </c>
      <c r="K305" s="80" t="s">
        <v>1162</v>
      </c>
      <c r="L305" s="205"/>
      <c r="M305" s="30"/>
      <c r="N305" s="30"/>
      <c r="O305" s="36"/>
      <c r="P305" s="81"/>
      <c r="Q305" s="82"/>
    </row>
    <row r="306">
      <c r="A306" s="200"/>
      <c r="B306" s="200">
        <v>40689.0</v>
      </c>
      <c r="C306" s="35" t="s">
        <v>671</v>
      </c>
      <c r="D306" s="35" t="s">
        <v>1165</v>
      </c>
      <c r="E306" s="86" t="str">
        <f>HYPERLINK("https://archive.org/details/JulianAssangeConferenceCall","LINK - ARCHIVE")</f>
        <v>LINK - ARCHIVE</v>
      </c>
      <c r="F306" s="146" t="s">
        <v>1166</v>
      </c>
      <c r="G306" s="78"/>
      <c r="H306" s="149" t="s">
        <v>1167</v>
      </c>
      <c r="I306" s="80" t="s">
        <v>517</v>
      </c>
      <c r="J306" s="80" t="s">
        <v>1168</v>
      </c>
      <c r="K306" s="80"/>
      <c r="L306" s="79"/>
      <c r="M306" s="30"/>
      <c r="N306" s="30"/>
      <c r="O306" s="36"/>
      <c r="P306" s="81"/>
      <c r="Q306" s="82"/>
    </row>
    <row r="307">
      <c r="A307" s="200">
        <v>40671.0</v>
      </c>
      <c r="B307" s="200">
        <v>40665.0</v>
      </c>
      <c r="C307" s="35" t="s">
        <v>185</v>
      </c>
      <c r="D307" s="35" t="s">
        <v>469</v>
      </c>
      <c r="E307" s="86" t="str">
        <f>HYPERLINK("https://www.youtube.com/attribution_link?a=FHmrhk8rJrE&amp;u=/watch%3Fv%3DiX2FDs8zswc%26feature%3Dshare","LINK - YT")</f>
        <v>LINK - YT</v>
      </c>
      <c r="F307" s="146" t="s">
        <v>1169</v>
      </c>
      <c r="G307" s="78"/>
      <c r="H307" s="149" t="s">
        <v>1170</v>
      </c>
      <c r="I307" s="79"/>
      <c r="J307" s="80" t="s">
        <v>1171</v>
      </c>
      <c r="K307" s="80" t="s">
        <v>1152</v>
      </c>
      <c r="L307" s="79"/>
      <c r="M307" s="30"/>
      <c r="N307" s="30"/>
      <c r="O307" s="86" t="str">
        <f>HYPERLINK("https://twitter.com/i/status/1037586585250717696","LINK - Twitter Vignette")</f>
        <v>LINK - Twitter Vignette</v>
      </c>
      <c r="P307" s="81"/>
      <c r="Q307" s="82"/>
    </row>
    <row r="308">
      <c r="A308" s="200">
        <v>40671.0</v>
      </c>
      <c r="B308" s="200">
        <v>40665.0</v>
      </c>
      <c r="C308" s="35" t="s">
        <v>185</v>
      </c>
      <c r="D308" s="35" t="s">
        <v>469</v>
      </c>
      <c r="E308" s="86" t="str">
        <f>HYPERLINK("https://www.youtube.com/attribution_link?a=Ospb6fXcJI8&amp;u=/watch%3Fv%3D0yhFRWaQbNg%26feature%3Dshare","LINK - YT")</f>
        <v>LINK - YT</v>
      </c>
      <c r="F308" s="146" t="s">
        <v>1172</v>
      </c>
      <c r="G308" s="122" t="str">
        <f>HYPERLINK("https://www.rt.com/news/wikileaks-revelations-assange-interview/","TRANSCRIPT (partial)")</f>
        <v>TRANSCRIPT (partial)</v>
      </c>
      <c r="H308" s="149" t="s">
        <v>1173</v>
      </c>
      <c r="I308" s="80" t="s">
        <v>1045</v>
      </c>
      <c r="J308" s="80" t="s">
        <v>1174</v>
      </c>
      <c r="K308" s="80" t="s">
        <v>1152</v>
      </c>
      <c r="L308" s="79"/>
      <c r="M308" s="30"/>
      <c r="N308" s="30"/>
      <c r="O308" s="29"/>
      <c r="P308" s="81"/>
      <c r="Q308" s="82"/>
    </row>
    <row r="309">
      <c r="A309" s="200">
        <v>40665.0</v>
      </c>
      <c r="B309" s="200">
        <v>40665.0</v>
      </c>
      <c r="C309" s="35" t="s">
        <v>185</v>
      </c>
      <c r="D309" s="35" t="s">
        <v>469</v>
      </c>
      <c r="E309" s="86" t="str">
        <f>HYPERLINK("https://www.youtube.com/attribution_link?a=K-2bTW6FgZ4&amp;u=/watch%3Fv%3DHp8rJVWC2a0%26feature%3Dshare","LINK - YT")</f>
        <v>LINK - YT</v>
      </c>
      <c r="F309" s="208">
        <v>0.5375</v>
      </c>
      <c r="G309" s="153"/>
      <c r="H309" s="149" t="s">
        <v>1175</v>
      </c>
      <c r="I309" s="80" t="s">
        <v>1176</v>
      </c>
      <c r="J309" s="80" t="s">
        <v>1171</v>
      </c>
      <c r="K309" s="80" t="s">
        <v>1152</v>
      </c>
      <c r="L309" s="79"/>
      <c r="M309" s="30"/>
      <c r="N309" s="86" t="str">
        <f>HYPERLINK("https://www.cnet.com/news/assange-facebook-is-an-appalling-spy-machine/","CNet Article")</f>
        <v>CNet Article</v>
      </c>
      <c r="O309" s="36"/>
      <c r="P309" s="81"/>
      <c r="Q309" s="82"/>
    </row>
    <row r="310">
      <c r="A310" s="203">
        <v>40664.0</v>
      </c>
      <c r="B310" s="203">
        <v>40664.0</v>
      </c>
      <c r="C310" s="35" t="s">
        <v>245</v>
      </c>
      <c r="D310" s="35" t="s">
        <v>1149</v>
      </c>
      <c r="E310" s="36"/>
      <c r="F310" s="87"/>
      <c r="G310" s="122" t="str">
        <f>HYPERLINK("https://www.e-flux.com/journal/25/67875/in-conversation-with-julian-assange-part-i/","ARTICLE")</f>
        <v>ARTICLE</v>
      </c>
      <c r="H310" s="149" t="s">
        <v>1177</v>
      </c>
      <c r="I310" s="80"/>
      <c r="J310" s="80" t="s">
        <v>1151</v>
      </c>
      <c r="K310" s="80" t="s">
        <v>1152</v>
      </c>
      <c r="L310" s="80" t="s">
        <v>1153</v>
      </c>
      <c r="M310" s="30"/>
      <c r="N310" s="30"/>
      <c r="O310" s="36"/>
      <c r="P310" s="81"/>
      <c r="Q310" s="82"/>
    </row>
    <row r="311">
      <c r="A311" s="200">
        <v>40644.0</v>
      </c>
      <c r="B311" s="200">
        <v>40642.0</v>
      </c>
      <c r="C311" s="35" t="s">
        <v>185</v>
      </c>
      <c r="D311" s="35" t="s">
        <v>469</v>
      </c>
      <c r="E311" s="86" t="str">
        <f>HYPERLINK("https://youtu.be/jfXSoHkF7hU","LINK - YT")</f>
        <v>LINK - YT</v>
      </c>
      <c r="F311" s="87">
        <v>0.4666666666666667</v>
      </c>
      <c r="G311" s="78"/>
      <c r="H311" s="149" t="s">
        <v>1178</v>
      </c>
      <c r="I311" s="80" t="s">
        <v>806</v>
      </c>
      <c r="J311" s="80" t="s">
        <v>1179</v>
      </c>
      <c r="K311" s="80" t="s">
        <v>1180</v>
      </c>
      <c r="L311" s="80"/>
      <c r="M311" s="30"/>
      <c r="N311" s="86" t="str">
        <f>HYPERLINK("https://www.newstatesman.com/blogs/the-staggers/2011/04/assange-whistleblowers","Commentary (in 2 parts)")</f>
        <v>Commentary (in 2 parts)</v>
      </c>
      <c r="O311" s="36"/>
      <c r="P311" s="81"/>
      <c r="Q311" s="82"/>
    </row>
    <row r="312">
      <c r="A312" s="200">
        <v>40683.0</v>
      </c>
      <c r="B312" s="203">
        <v>40634.0</v>
      </c>
      <c r="C312" s="35" t="s">
        <v>185</v>
      </c>
      <c r="D312" s="35" t="s">
        <v>1181</v>
      </c>
      <c r="E312" s="86" t="str">
        <f>HYPERLINK("https://youtu.be/fU77aLDd8SM","LINK - YT")</f>
        <v>LINK - YT</v>
      </c>
      <c r="F312" s="87">
        <v>0.2625</v>
      </c>
      <c r="G312" s="78"/>
      <c r="H312" s="149" t="s">
        <v>1182</v>
      </c>
      <c r="I312" s="80" t="s">
        <v>1183</v>
      </c>
      <c r="J312" s="80" t="s">
        <v>1184</v>
      </c>
      <c r="K312" s="80" t="s">
        <v>1162</v>
      </c>
      <c r="L312" s="80" t="s">
        <v>1185</v>
      </c>
      <c r="M312" s="30"/>
      <c r="N312" s="30"/>
      <c r="O312" s="36"/>
      <c r="P312" s="81"/>
      <c r="Q312" s="82"/>
    </row>
    <row r="313">
      <c r="A313" s="200">
        <v>40687.0</v>
      </c>
      <c r="B313" s="200">
        <v>40637.0</v>
      </c>
      <c r="C313" s="35" t="s">
        <v>185</v>
      </c>
      <c r="D313" s="35" t="s">
        <v>469</v>
      </c>
      <c r="E313" s="86" t="str">
        <f>HYPERLINK("https://www.pbs.org/wgbh/pages/frontline/wikileaks/","LINK - YT")</f>
        <v>LINK - YT</v>
      </c>
      <c r="F313" s="146" t="s">
        <v>1186</v>
      </c>
      <c r="G313" s="78"/>
      <c r="H313" s="149" t="s">
        <v>1187</v>
      </c>
      <c r="I313" s="79"/>
      <c r="J313" s="80" t="s">
        <v>1188</v>
      </c>
      <c r="K313" s="80"/>
      <c r="L313" s="79"/>
      <c r="M313" s="30"/>
      <c r="N313" s="30"/>
      <c r="O313" s="86" t="str">
        <f>HYPERLINK("https://www.pinterest.nz/pin/640426009487558318/","MEME")</f>
        <v>MEME</v>
      </c>
      <c r="P313" s="81"/>
      <c r="Q313" s="82"/>
    </row>
    <row r="314">
      <c r="A314" s="200">
        <v>40638.0</v>
      </c>
      <c r="B314" s="200"/>
      <c r="C314" s="35" t="s">
        <v>245</v>
      </c>
      <c r="D314" s="35" t="s">
        <v>1189</v>
      </c>
      <c r="E314" s="36"/>
      <c r="F314" s="132"/>
      <c r="G314" s="122" t="str">
        <f>HYPERLINK("http://archive.is/z0zhZ","ARTICLE")</f>
        <v>ARTICLE</v>
      </c>
      <c r="H314" s="149" t="s">
        <v>1190</v>
      </c>
      <c r="I314" s="79"/>
      <c r="J314" s="80"/>
      <c r="K314" s="80"/>
      <c r="L314" s="79"/>
      <c r="M314" s="30"/>
      <c r="N314" s="30"/>
      <c r="O314" s="36"/>
      <c r="P314" s="81"/>
      <c r="Q314" s="82"/>
    </row>
    <row r="315">
      <c r="A315" s="200">
        <v>40637.0</v>
      </c>
      <c r="B315" s="200">
        <v>40637.0</v>
      </c>
      <c r="C315" s="35" t="s">
        <v>185</v>
      </c>
      <c r="D315" s="35" t="s">
        <v>469</v>
      </c>
      <c r="E315" s="86" t="str">
        <f>HYPERLINK("https://www.youtube.com/attribution_link?a=bdDiT2u8eY8&amp;u=/watch%3Fv%3DohMETSzSwHc%26feature%3Dshare","LINK - YT")</f>
        <v>LINK - YT</v>
      </c>
      <c r="F315" s="209" t="s">
        <v>1191</v>
      </c>
      <c r="G315" s="122" t="str">
        <f>HYPERLINK("https://wiseupaction.info/julian-assange-in-his-own-words/","TRANSCRIPT")</f>
        <v>TRANSCRIPT</v>
      </c>
      <c r="H315" s="149" t="s">
        <v>1192</v>
      </c>
      <c r="I315" s="79"/>
      <c r="J315" s="80" t="s">
        <v>1193</v>
      </c>
      <c r="K315" s="80"/>
      <c r="L315" s="79"/>
      <c r="M315" s="30"/>
      <c r="N315" s="30"/>
      <c r="O315" s="36"/>
      <c r="P315" s="81"/>
      <c r="Q315" s="82"/>
    </row>
    <row r="316">
      <c r="A316" s="200">
        <v>40623.0</v>
      </c>
      <c r="B316" s="200"/>
      <c r="C316" s="35" t="s">
        <v>245</v>
      </c>
      <c r="D316" s="35" t="s">
        <v>1194</v>
      </c>
      <c r="F316" s="208"/>
      <c r="G316" s="86" t="str">
        <f>HYPERLINK("https://www.thehindu.com/opinion/interview/The-behaviour-of-guilty-men-Julian-Assange/article13675684.ece","LINK - TEXT")</f>
        <v>LINK - TEXT</v>
      </c>
      <c r="H316" s="149" t="s">
        <v>1195</v>
      </c>
      <c r="I316" s="80"/>
      <c r="J316" s="80" t="s">
        <v>1196</v>
      </c>
      <c r="K316" s="80"/>
      <c r="L316" s="79"/>
      <c r="M316" s="30"/>
      <c r="N316" s="30"/>
      <c r="O316" s="36"/>
      <c r="P316" s="81"/>
      <c r="Q316" s="82"/>
    </row>
    <row r="317">
      <c r="A317" s="200">
        <v>40817.0</v>
      </c>
      <c r="B317" s="200">
        <v>40617.0</v>
      </c>
      <c r="C317" s="35" t="s">
        <v>185</v>
      </c>
      <c r="D317" s="35" t="s">
        <v>469</v>
      </c>
      <c r="E317" s="86" t="str">
        <f>HYPERLINK("https://youtu.be/gkSPfBl5GV0","LINK - YT")</f>
        <v>LINK - YT</v>
      </c>
      <c r="F317" s="208"/>
      <c r="G317" s="122" t="str">
        <f>HYPERLINK("https://greekemmy.com/2013/05/01/wikileaks-julian-assange-speech-at-cambridge-union-15-03-2011-video-and-transcript/","TRANSCRIPT")</f>
        <v>TRANSCRIPT</v>
      </c>
      <c r="H317" s="149" t="s">
        <v>1197</v>
      </c>
      <c r="I317" s="80"/>
      <c r="J317" s="80"/>
      <c r="K317" s="80"/>
      <c r="L317" s="79"/>
      <c r="M317" s="30"/>
      <c r="N317" s="30"/>
      <c r="O317" s="36"/>
      <c r="P317" s="81"/>
      <c r="Q317" s="82"/>
    </row>
    <row r="318">
      <c r="A318" s="200">
        <v>40616.0</v>
      </c>
      <c r="B318" s="200">
        <v>40616.0</v>
      </c>
      <c r="C318" s="35" t="s">
        <v>185</v>
      </c>
      <c r="D318" s="35" t="s">
        <v>469</v>
      </c>
      <c r="E318" s="86" t="str">
        <f>HYPERLINK("https://youtu.be/jobTJ4sd3D8","LINK - YT")</f>
        <v>LINK - YT</v>
      </c>
      <c r="F318" s="208">
        <v>0.3020833333333333</v>
      </c>
      <c r="G318" s="153"/>
      <c r="H318" s="149" t="s">
        <v>1198</v>
      </c>
      <c r="I318" s="80" t="s">
        <v>1199</v>
      </c>
      <c r="J318" s="80" t="s">
        <v>1200</v>
      </c>
      <c r="K318" s="80" t="s">
        <v>1201</v>
      </c>
      <c r="L318" s="79"/>
      <c r="M318" s="30"/>
      <c r="N318" s="30"/>
      <c r="O318" s="36"/>
      <c r="P318" s="81"/>
      <c r="Q318" s="82"/>
    </row>
    <row r="319">
      <c r="A319" s="200">
        <v>40609.0</v>
      </c>
      <c r="B319" s="200">
        <v>40609.0</v>
      </c>
      <c r="C319" s="35" t="s">
        <v>245</v>
      </c>
      <c r="D319" s="35"/>
      <c r="E319" s="36"/>
      <c r="F319" s="208"/>
      <c r="G319" s="122" t="str">
        <f>HYPERLINK("https://www.wikileaks.org/Editorial-100-Days-of-Cablegate.html","LINK - TEXT")</f>
        <v>LINK - TEXT</v>
      </c>
      <c r="H319" s="149" t="s">
        <v>1202</v>
      </c>
      <c r="I319" s="80" t="s">
        <v>1203</v>
      </c>
      <c r="J319" s="80" t="s">
        <v>413</v>
      </c>
      <c r="K319" s="80"/>
      <c r="L319" s="79"/>
      <c r="M319" s="30"/>
      <c r="N319" s="30"/>
      <c r="O319" s="36"/>
      <c r="P319" s="81"/>
      <c r="Q319" s="82"/>
    </row>
    <row r="320">
      <c r="A320" s="200">
        <v>40603.0</v>
      </c>
      <c r="B320" s="200">
        <v>40603.0</v>
      </c>
      <c r="C320" s="35" t="s">
        <v>245</v>
      </c>
      <c r="D320" s="35" t="s">
        <v>534</v>
      </c>
      <c r="E320" s="36"/>
      <c r="F320" s="208"/>
      <c r="G320" s="122" t="str">
        <f>HYPERLINK("http://www.twitlonger.com/show/92ichb","LINK - TEXT")</f>
        <v>LINK - TEXT</v>
      </c>
      <c r="H320" s="149" t="s">
        <v>1204</v>
      </c>
      <c r="I320" s="80"/>
      <c r="J320" s="80" t="s">
        <v>1205</v>
      </c>
      <c r="K320" s="80"/>
      <c r="L320" s="79"/>
      <c r="M320" s="30"/>
      <c r="N320" s="30"/>
      <c r="O320" s="36"/>
      <c r="P320" s="81"/>
      <c r="Q320" s="82"/>
    </row>
    <row r="321">
      <c r="A321" s="200">
        <v>40644.0</v>
      </c>
      <c r="B321" s="200">
        <v>36935.0</v>
      </c>
      <c r="C321" s="35" t="s">
        <v>185</v>
      </c>
      <c r="D321" s="35" t="s">
        <v>469</v>
      </c>
      <c r="E321" s="86" t="str">
        <f>HYPERLINK("https://youtu.be/BplfViSKd6Y","LINK - YT")</f>
        <v>LINK - YT</v>
      </c>
      <c r="F321" s="209" t="s">
        <v>1206</v>
      </c>
      <c r="G321" s="153"/>
      <c r="H321" s="149" t="s">
        <v>1207</v>
      </c>
      <c r="I321" s="80" t="s">
        <v>1208</v>
      </c>
      <c r="J321" s="80" t="s">
        <v>1209</v>
      </c>
      <c r="K321" s="80"/>
      <c r="L321" s="79"/>
      <c r="M321" s="30"/>
      <c r="N321" s="86" t="str">
        <f>HYPERLINK("https://www.sbs.com.au/news/dateline/story/assange-speaks","LINK - Website")</f>
        <v>LINK - Website</v>
      </c>
      <c r="O321" s="36"/>
      <c r="P321" s="81"/>
      <c r="Q321" s="82"/>
    </row>
    <row r="322">
      <c r="A322" s="200">
        <v>40762.0</v>
      </c>
      <c r="B322" s="210">
        <v>40575.0</v>
      </c>
      <c r="C322" s="35"/>
      <c r="D322" s="35" t="s">
        <v>469</v>
      </c>
      <c r="E322" s="86" t="str">
        <f>HYPERLINK("https://youtu.be/SBl1yXxOtWA","LINK - YT")</f>
        <v>LINK - YT</v>
      </c>
      <c r="F322" s="208">
        <v>0.6229166666666667</v>
      </c>
      <c r="G322" s="153"/>
      <c r="H322" s="149" t="s">
        <v>1210</v>
      </c>
      <c r="I322" s="80" t="s">
        <v>1211</v>
      </c>
      <c r="J322" s="80" t="s">
        <v>613</v>
      </c>
      <c r="K322" s="80" t="s">
        <v>1212</v>
      </c>
      <c r="L322" s="80" t="s">
        <v>1213</v>
      </c>
      <c r="M322" s="30"/>
      <c r="N322" s="86" t="str">
        <f>HYPERLINK("https://vimeo.com/29958227","Key Note speech John Rees")</f>
        <v>Key Note speech John Rees</v>
      </c>
      <c r="O322" s="86" t="str">
        <f>HYPERLINK("https://twitter.com/LaFleurDelSur/status/1235590018602881024","Tweet")</f>
        <v>Tweet</v>
      </c>
      <c r="P322" s="81"/>
      <c r="Q322" s="82"/>
    </row>
    <row r="323">
      <c r="A323" s="200">
        <v>42590.0</v>
      </c>
      <c r="B323" s="210">
        <v>40575.0</v>
      </c>
      <c r="C323" s="35" t="s">
        <v>185</v>
      </c>
      <c r="D323" s="35" t="s">
        <v>469</v>
      </c>
      <c r="E323" s="86" t="str">
        <f>HYPERLINK("https://youtu.be/AL76-VvMUH0","LINK - YT")</f>
        <v>LINK - YT</v>
      </c>
      <c r="F323" s="208">
        <v>0.55</v>
      </c>
      <c r="G323" s="153"/>
      <c r="H323" s="149" t="s">
        <v>1214</v>
      </c>
      <c r="I323" s="80"/>
      <c r="J323" s="80" t="s">
        <v>1215</v>
      </c>
      <c r="K323" s="80"/>
      <c r="L323" s="80" t="s">
        <v>1216</v>
      </c>
      <c r="M323" s="30"/>
      <c r="N323" s="36"/>
      <c r="O323" s="36"/>
      <c r="P323" s="81"/>
      <c r="Q323" s="82"/>
    </row>
    <row r="324">
      <c r="A324" s="200">
        <v>40573.0</v>
      </c>
      <c r="B324" s="200">
        <v>40573.0</v>
      </c>
      <c r="C324" s="35" t="s">
        <v>185</v>
      </c>
      <c r="D324" s="35" t="s">
        <v>1217</v>
      </c>
      <c r="E324" s="86" t="str">
        <f>HYPERLINK("https://youtu.be/DzC9invn4Ko","LINK- YT")</f>
        <v>LINK- YT</v>
      </c>
      <c r="F324" s="208">
        <v>0.6243055555555556</v>
      </c>
      <c r="G324" s="153"/>
      <c r="H324" s="149" t="s">
        <v>1218</v>
      </c>
      <c r="I324" s="80" t="s">
        <v>1219</v>
      </c>
      <c r="J324" s="80" t="s">
        <v>1220</v>
      </c>
      <c r="K324" s="80" t="s">
        <v>1221</v>
      </c>
      <c r="L324" s="79"/>
      <c r="M324" s="30"/>
      <c r="N324" s="86" t="str">
        <f>HYPERLINK("https://techcrunch.com/2011/01/30/wikileaks-assange-60-minutes/","Article")</f>
        <v>Article</v>
      </c>
      <c r="O324" s="36"/>
      <c r="P324" s="81"/>
      <c r="Q324" s="82"/>
    </row>
    <row r="325">
      <c r="A325" s="200">
        <v>40573.0</v>
      </c>
      <c r="B325" s="200">
        <v>40573.0</v>
      </c>
      <c r="C325" s="35" t="s">
        <v>185</v>
      </c>
      <c r="D325" s="35" t="s">
        <v>1217</v>
      </c>
      <c r="E325" s="86" t="str">
        <f>HYPERLINK("https://youtu.be/7gKmBgc_4ko","LINK- YT")</f>
        <v>LINK- YT</v>
      </c>
      <c r="F325" s="208">
        <v>0.5520833333333334</v>
      </c>
      <c r="G325" s="153"/>
      <c r="H325" s="149" t="s">
        <v>1222</v>
      </c>
      <c r="I325" s="79"/>
      <c r="J325" s="80" t="s">
        <v>1220</v>
      </c>
      <c r="K325" s="80" t="s">
        <v>1221</v>
      </c>
      <c r="L325" s="79"/>
      <c r="M325" s="30"/>
      <c r="N325" s="30"/>
      <c r="O325" s="36"/>
      <c r="P325" s="81"/>
      <c r="Q325" s="82"/>
    </row>
    <row r="326">
      <c r="A326" s="200">
        <v>40574.0</v>
      </c>
      <c r="B326" s="200">
        <v>40558.0</v>
      </c>
      <c r="C326" s="35" t="s">
        <v>185</v>
      </c>
      <c r="D326" s="35" t="s">
        <v>469</v>
      </c>
      <c r="E326" s="86" t="str">
        <f>HYPERLINK("https://youtu.be/ZhcskprIA7s","LINK - YT")</f>
        <v>LINK - YT</v>
      </c>
      <c r="F326" s="208">
        <v>0.8993055555555556</v>
      </c>
      <c r="G326" s="153"/>
      <c r="H326" s="149" t="s">
        <v>1223</v>
      </c>
      <c r="I326" s="80" t="s">
        <v>1224</v>
      </c>
      <c r="J326" s="80" t="s">
        <v>613</v>
      </c>
      <c r="K326" s="80" t="s">
        <v>1068</v>
      </c>
      <c r="L326" s="79"/>
      <c r="M326" s="30"/>
      <c r="N326" s="30"/>
      <c r="O326" s="36"/>
      <c r="P326" s="81"/>
      <c r="Q326" s="82"/>
    </row>
    <row r="327">
      <c r="A327" s="211">
        <v>40541.0</v>
      </c>
      <c r="B327" s="211"/>
      <c r="C327" s="35" t="s">
        <v>185</v>
      </c>
      <c r="D327" s="35" t="s">
        <v>907</v>
      </c>
      <c r="E327" s="86" t="str">
        <f>HYPERLINK("https://vimeo.com/18269080","LINK - VIMEO")</f>
        <v>LINK - VIMEO</v>
      </c>
      <c r="F327" s="146" t="s">
        <v>1225</v>
      </c>
      <c r="G327" s="78"/>
      <c r="H327" s="149" t="s">
        <v>1226</v>
      </c>
      <c r="I327" s="80" t="s">
        <v>1227</v>
      </c>
      <c r="J327" s="80" t="s">
        <v>1228</v>
      </c>
      <c r="K327" s="80" t="s">
        <v>1068</v>
      </c>
      <c r="L327" s="79"/>
      <c r="M327" s="30"/>
      <c r="N327" s="86" t="str">
        <f>HYPERLINK("http://johnpilger.com/videos/julian-assange-in-conversation-with-john-pilger","Webpage")</f>
        <v>Webpage</v>
      </c>
      <c r="O327" s="36"/>
      <c r="P327" s="81"/>
      <c r="Q327" s="82"/>
    </row>
    <row r="328">
      <c r="A328" s="211">
        <v>40534.0</v>
      </c>
      <c r="B328" s="211">
        <v>40533.0</v>
      </c>
      <c r="C328" s="35" t="s">
        <v>185</v>
      </c>
      <c r="D328" s="35" t="s">
        <v>469</v>
      </c>
      <c r="E328" s="86" t="str">
        <f>HYPERLINK("https://www.youtube.com/attribution_link?a=sHoTECZHBZM&amp;u=/watch%3Fv%3Dfk93R_eXW3E%26feature%3Dshare","LINK - YT")</f>
        <v>LINK - YT</v>
      </c>
      <c r="F328" s="146" t="s">
        <v>1229</v>
      </c>
      <c r="G328" s="78"/>
      <c r="H328" s="149" t="s">
        <v>1230</v>
      </c>
      <c r="I328" s="79"/>
      <c r="J328" s="80" t="s">
        <v>1231</v>
      </c>
      <c r="K328" s="80"/>
      <c r="L328" s="79"/>
      <c r="M328" s="30"/>
      <c r="N328" s="30"/>
      <c r="O328" s="36"/>
      <c r="P328" s="81"/>
      <c r="Q328" s="82"/>
    </row>
    <row r="329">
      <c r="A329" s="211">
        <v>40534.0</v>
      </c>
      <c r="B329" s="211">
        <v>40533.0</v>
      </c>
      <c r="C329" s="35" t="s">
        <v>185</v>
      </c>
      <c r="D329" s="35" t="s">
        <v>469</v>
      </c>
      <c r="E329" s="86" t="str">
        <f>HYPERLINK("https://youtu.be/LID0egWMYo0","LINK - YT")</f>
        <v>LINK - YT</v>
      </c>
      <c r="F329" s="146" t="s">
        <v>1232</v>
      </c>
      <c r="G329" s="78"/>
      <c r="H329" s="149" t="s">
        <v>1233</v>
      </c>
      <c r="I329" s="79"/>
      <c r="J329" s="80" t="s">
        <v>1231</v>
      </c>
      <c r="K329" s="80"/>
      <c r="L329" s="79"/>
      <c r="M329" s="30"/>
      <c r="N329" s="30"/>
      <c r="O329" s="36"/>
      <c r="P329" s="81"/>
      <c r="Q329" s="82"/>
    </row>
    <row r="330">
      <c r="A330" s="211">
        <v>40534.0</v>
      </c>
      <c r="B330" s="211">
        <v>40534.0</v>
      </c>
      <c r="C330" s="35" t="s">
        <v>185</v>
      </c>
      <c r="D330" s="35" t="s">
        <v>1234</v>
      </c>
      <c r="E330" s="86" t="str">
        <f>HYPERLINK("https://youtu.be/yL8g3vye4xo","LINK - YT")</f>
        <v>LINK - YT</v>
      </c>
      <c r="F330" s="87">
        <v>0.6326388888888889</v>
      </c>
      <c r="G330" s="78"/>
      <c r="H330" s="149" t="s">
        <v>1235</v>
      </c>
      <c r="I330" s="80" t="s">
        <v>1236</v>
      </c>
      <c r="J330" s="80" t="s">
        <v>1237</v>
      </c>
      <c r="K330" s="80" t="s">
        <v>1238</v>
      </c>
      <c r="L330" s="79"/>
      <c r="M330" s="30"/>
      <c r="N330" s="30"/>
      <c r="O330" s="36"/>
      <c r="P330" s="81"/>
      <c r="Q330" s="82"/>
    </row>
    <row r="331">
      <c r="A331" s="211">
        <v>40529.0</v>
      </c>
      <c r="B331" s="211">
        <v>44182.0</v>
      </c>
      <c r="C331" s="35" t="s">
        <v>185</v>
      </c>
      <c r="D331" s="35" t="s">
        <v>469</v>
      </c>
      <c r="E331" s="86" t="str">
        <f>HYPERLINK("https://youtu.be/KXLs7q01c68","LINK - YT")</f>
        <v>LINK - YT</v>
      </c>
      <c r="F331" s="131">
        <v>0.06527777777777778</v>
      </c>
      <c r="G331" s="132"/>
      <c r="H331" s="149" t="s">
        <v>1239</v>
      </c>
      <c r="I331" s="80" t="s">
        <v>1240</v>
      </c>
      <c r="J331" s="80" t="s">
        <v>613</v>
      </c>
      <c r="K331" s="80" t="s">
        <v>1241</v>
      </c>
      <c r="L331" s="79"/>
      <c r="M331" s="30"/>
      <c r="N331" s="30"/>
      <c r="O331" s="36"/>
      <c r="P331" s="81"/>
      <c r="Q331" s="82"/>
    </row>
    <row r="332">
      <c r="A332" s="211">
        <v>40523.0</v>
      </c>
      <c r="B332" s="211">
        <v>40523.0</v>
      </c>
      <c r="C332" s="35" t="s">
        <v>185</v>
      </c>
      <c r="D332" s="35" t="s">
        <v>469</v>
      </c>
      <c r="E332" s="86" t="str">
        <f>HYPERLINK("https://youtu.be/ekHekE1hZig","LINK - YT")</f>
        <v>LINK - YT</v>
      </c>
      <c r="F332" s="131">
        <v>0.14027777777777778</v>
      </c>
      <c r="G332" s="78"/>
      <c r="H332" s="149" t="s">
        <v>1242</v>
      </c>
      <c r="I332" s="80" t="s">
        <v>1243</v>
      </c>
      <c r="J332" s="80"/>
      <c r="K332" s="80"/>
      <c r="L332" s="79"/>
      <c r="M332" s="30"/>
      <c r="N332" s="30"/>
      <c r="O332" s="36"/>
      <c r="P332" s="81"/>
      <c r="Q332" s="82"/>
    </row>
    <row r="333">
      <c r="A333" s="211">
        <v>40523.0</v>
      </c>
      <c r="B333" s="211"/>
      <c r="C333" s="35" t="s">
        <v>185</v>
      </c>
      <c r="D333" s="35" t="s">
        <v>469</v>
      </c>
      <c r="E333" s="86" t="str">
        <f>HYPERLINK("https://www.youtube.com/attribution_link?a=4fQnGgw7op0&amp;u=/watch%3Fv%3Drmf10tj5BNQ%26feature%3Dshare","LINK - YT")</f>
        <v>LINK - YT</v>
      </c>
      <c r="F333" s="77"/>
      <c r="G333" s="78"/>
      <c r="H333" s="149" t="s">
        <v>1244</v>
      </c>
      <c r="I333" s="79"/>
      <c r="J333" s="80"/>
      <c r="K333" s="80"/>
      <c r="L333" s="79"/>
      <c r="M333" s="30"/>
      <c r="N333" s="30"/>
      <c r="O333" s="36"/>
      <c r="P333" s="81"/>
      <c r="Q333" s="82"/>
    </row>
    <row r="334">
      <c r="A334" s="211">
        <v>40519.0</v>
      </c>
      <c r="B334" s="211">
        <v>40519.0</v>
      </c>
      <c r="C334" s="35" t="s">
        <v>245</v>
      </c>
      <c r="D334" s="35" t="s">
        <v>1023</v>
      </c>
      <c r="E334" s="86" t="str">
        <f>HYPERLINK("https://www.theguardian.com/news/blog/2010/dec/07/wikileaks-us-embassy-cables-live-updates?CMP=twt_gu","LINK - Text")</f>
        <v>LINK - Text</v>
      </c>
      <c r="F334" s="77"/>
      <c r="G334" s="78"/>
      <c r="H334" s="133" t="s">
        <v>1245</v>
      </c>
      <c r="I334" s="79"/>
      <c r="J334" s="80"/>
      <c r="K334" s="80"/>
      <c r="L334" s="79"/>
      <c r="M334" s="30"/>
      <c r="N334" s="30"/>
      <c r="O334" s="36"/>
      <c r="P334" s="81"/>
      <c r="Q334" s="82"/>
    </row>
    <row r="335">
      <c r="A335" s="134">
        <v>40519.0</v>
      </c>
      <c r="B335" s="134">
        <v>40519.0</v>
      </c>
      <c r="C335" s="135" t="s">
        <v>481</v>
      </c>
      <c r="D335" s="136"/>
      <c r="E335" s="137"/>
      <c r="F335" s="212"/>
      <c r="G335" s="139" t="s">
        <v>608</v>
      </c>
      <c r="H335" s="213" t="s">
        <v>1246</v>
      </c>
      <c r="I335" s="214"/>
      <c r="J335" s="141"/>
      <c r="K335" s="141"/>
      <c r="L335" s="214"/>
      <c r="M335" s="142"/>
      <c r="N335" s="142"/>
      <c r="O335" s="137"/>
      <c r="P335" s="144"/>
      <c r="Q335" s="145"/>
      <c r="R335" s="145"/>
      <c r="S335" s="145"/>
      <c r="T335" s="145"/>
      <c r="U335" s="145"/>
      <c r="V335" s="145"/>
      <c r="W335" s="145"/>
      <c r="X335" s="145"/>
      <c r="Y335" s="145"/>
      <c r="Z335" s="145"/>
      <c r="AA335" s="145"/>
      <c r="AB335" s="145"/>
      <c r="AC335" s="145"/>
      <c r="AD335" s="145"/>
      <c r="AE335" s="145"/>
      <c r="AF335" s="145"/>
      <c r="AG335" s="145"/>
    </row>
    <row r="336">
      <c r="A336" s="211">
        <v>41436.0</v>
      </c>
      <c r="B336" s="215">
        <v>2010.0</v>
      </c>
      <c r="C336" s="35" t="s">
        <v>185</v>
      </c>
      <c r="D336" s="35" t="s">
        <v>1247</v>
      </c>
      <c r="E336" s="86" t="str">
        <f>HYPERLINK("https://youtu.be/lDutkYQF9d8?t=1h15m08s","LINK - YT")</f>
        <v>LINK - YT</v>
      </c>
      <c r="F336" s="77"/>
      <c r="G336" s="122" t="str">
        <f>HYPERLINK("http://johnpilger.com/videos/the-war-you-dont-see","John Pilger Commentary")</f>
        <v>John Pilger Commentary</v>
      </c>
      <c r="H336" s="149" t="s">
        <v>1248</v>
      </c>
      <c r="I336" s="80" t="s">
        <v>1249</v>
      </c>
      <c r="J336" s="80" t="s">
        <v>1250</v>
      </c>
      <c r="K336" s="80"/>
      <c r="L336" s="79"/>
      <c r="M336" s="30"/>
      <c r="N336" s="30"/>
      <c r="O336" s="36"/>
      <c r="P336" s="81"/>
      <c r="Q336" s="82"/>
    </row>
    <row r="337">
      <c r="A337" s="211"/>
      <c r="B337" s="211">
        <v>40522.0</v>
      </c>
      <c r="C337" s="35" t="s">
        <v>185</v>
      </c>
      <c r="D337" s="35" t="s">
        <v>469</v>
      </c>
      <c r="E337" s="86" t="str">
        <f>HYPERLINK("https://www.youtube.com/playlist?list=PLD9B6BD8FBC814D6E","LINK - YouTube")</f>
        <v>LINK - YouTube</v>
      </c>
      <c r="F337" s="77"/>
      <c r="G337" s="132" t="s">
        <v>1251</v>
      </c>
      <c r="H337" s="149" t="s">
        <v>1252</v>
      </c>
      <c r="I337" s="79"/>
      <c r="J337" s="80"/>
      <c r="K337" s="80"/>
      <c r="L337" s="80" t="s">
        <v>1253</v>
      </c>
      <c r="M337" s="30"/>
      <c r="N337" s="30"/>
      <c r="O337" s="36"/>
      <c r="P337" s="81"/>
      <c r="Q337" s="82"/>
    </row>
    <row r="338">
      <c r="A338" s="211">
        <v>40515.0</v>
      </c>
      <c r="B338" s="211">
        <v>40515.0</v>
      </c>
      <c r="C338" s="35" t="s">
        <v>429</v>
      </c>
      <c r="D338" s="35" t="s">
        <v>187</v>
      </c>
      <c r="E338" s="86" t="str">
        <f>HYPERLINK("https://twitter.com/JPBarlow/status/10627544017534976","LINK - TWEET")</f>
        <v>LINK - TWEET</v>
      </c>
      <c r="F338" s="77"/>
      <c r="G338" s="78"/>
      <c r="H338" s="149" t="s">
        <v>1254</v>
      </c>
      <c r="I338" s="79"/>
      <c r="J338" s="80" t="s">
        <v>1255</v>
      </c>
      <c r="K338" s="80"/>
      <c r="L338" s="79"/>
      <c r="M338" s="30"/>
      <c r="N338" s="30"/>
      <c r="O338" s="36"/>
      <c r="P338" s="81"/>
      <c r="Q338" s="82"/>
    </row>
    <row r="339">
      <c r="A339" s="211">
        <v>40515.0</v>
      </c>
      <c r="B339" s="211">
        <v>40515.0</v>
      </c>
      <c r="C339" s="35" t="s">
        <v>245</v>
      </c>
      <c r="D339" s="35" t="s">
        <v>1023</v>
      </c>
      <c r="E339" s="36"/>
      <c r="F339" s="77"/>
      <c r="G339" s="122" t="str">
        <f>HYPERLINK("https://www.theguardian.com/world/blog/2010/dec/03/julian-assange-wikileaks","ARTICLE")</f>
        <v>ARTICLE</v>
      </c>
      <c r="H339" s="149" t="s">
        <v>1256</v>
      </c>
      <c r="I339" s="79"/>
      <c r="J339" s="80" t="s">
        <v>1257</v>
      </c>
      <c r="K339" s="80"/>
      <c r="L339" s="79"/>
      <c r="M339" s="30"/>
      <c r="N339" s="30"/>
      <c r="O339" s="36"/>
      <c r="P339" s="81"/>
      <c r="Q339" s="82"/>
    </row>
    <row r="340">
      <c r="A340" s="216">
        <v>40510.0</v>
      </c>
      <c r="B340" s="216">
        <v>40510.0</v>
      </c>
      <c r="C340" s="111" t="s">
        <v>481</v>
      </c>
      <c r="D340" s="35" t="s">
        <v>1023</v>
      </c>
      <c r="E340" s="86" t="str">
        <f>HYPERLINK("https://www.theguardian.com/world/2010/nov/28/us-embassy-cable-leak-diplomacy-crisis","LINK - Text")</f>
        <v>LINK - Text</v>
      </c>
      <c r="F340" s="64"/>
      <c r="G340" s="78"/>
      <c r="H340" s="217" t="s">
        <v>1258</v>
      </c>
      <c r="I340" s="79"/>
      <c r="J340" s="79"/>
      <c r="K340" s="79"/>
      <c r="L340" s="79"/>
      <c r="M340" s="30"/>
      <c r="N340" s="30"/>
      <c r="O340" s="29"/>
      <c r="P340" s="81"/>
      <c r="Q340" s="82"/>
    </row>
    <row r="341">
      <c r="A341" s="211">
        <v>40510.0</v>
      </c>
      <c r="B341" s="211">
        <v>40510.0</v>
      </c>
      <c r="C341" s="35" t="s">
        <v>185</v>
      </c>
      <c r="D341" s="35" t="s">
        <v>1023</v>
      </c>
      <c r="E341" s="86" t="str">
        <f>HYPERLINK("https://youtu.be/w4tA-5auehU","LINK - YT")</f>
        <v>LINK - YT</v>
      </c>
      <c r="F341" s="64"/>
      <c r="G341" s="78"/>
      <c r="H341" s="80" t="s">
        <v>1259</v>
      </c>
      <c r="I341" s="80"/>
      <c r="J341" s="80" t="s">
        <v>1260</v>
      </c>
      <c r="K341" s="79"/>
      <c r="L341" s="79"/>
      <c r="M341" s="30"/>
      <c r="O341" s="29"/>
      <c r="P341" s="81"/>
      <c r="Q341" s="82"/>
    </row>
    <row r="342">
      <c r="A342" s="111">
        <v>40478.0</v>
      </c>
      <c r="B342" s="111">
        <v>40478.0</v>
      </c>
      <c r="C342" s="111" t="s">
        <v>481</v>
      </c>
      <c r="D342" s="29"/>
      <c r="E342" s="36"/>
      <c r="F342" s="64"/>
      <c r="G342" s="78"/>
      <c r="H342" s="217" t="s">
        <v>1261</v>
      </c>
      <c r="I342" s="79"/>
      <c r="J342" s="79"/>
      <c r="K342" s="79"/>
      <c r="L342" s="80"/>
      <c r="M342" s="30"/>
      <c r="N342" s="30"/>
      <c r="O342" s="29"/>
      <c r="P342" s="81"/>
      <c r="Q342" s="82"/>
    </row>
    <row r="343">
      <c r="A343" s="211">
        <v>40477.0</v>
      </c>
      <c r="B343" s="211">
        <v>40477.0</v>
      </c>
      <c r="C343" s="35" t="s">
        <v>185</v>
      </c>
      <c r="D343" s="35" t="s">
        <v>801</v>
      </c>
      <c r="E343" s="36" t="s">
        <v>1262</v>
      </c>
      <c r="F343" s="87"/>
      <c r="G343" s="78"/>
      <c r="H343" s="80" t="s">
        <v>1263</v>
      </c>
      <c r="I343" s="80"/>
      <c r="J343" s="80"/>
      <c r="K343" s="79"/>
      <c r="L343" s="80" t="s">
        <v>1264</v>
      </c>
      <c r="M343" s="30"/>
      <c r="O343" s="29"/>
      <c r="P343" s="81"/>
      <c r="Q343" s="82"/>
    </row>
    <row r="344">
      <c r="A344" s="211">
        <v>40477.0</v>
      </c>
      <c r="B344" s="211">
        <v>40477.0</v>
      </c>
      <c r="C344" s="35" t="s">
        <v>185</v>
      </c>
      <c r="D344" s="35" t="s">
        <v>801</v>
      </c>
      <c r="E344" s="86" t="str">
        <f>HYPERLINK("https://youtu.be/8QMQKcVCJxs","LINK - YT")</f>
        <v>LINK - YT</v>
      </c>
      <c r="F344" s="146" t="s">
        <v>1265</v>
      </c>
      <c r="G344" s="78"/>
      <c r="H344" s="80" t="s">
        <v>1266</v>
      </c>
      <c r="I344" s="80" t="s">
        <v>1267</v>
      </c>
      <c r="J344" s="80" t="s">
        <v>1268</v>
      </c>
      <c r="K344" s="79"/>
      <c r="L344" s="79"/>
      <c r="M344" s="30"/>
      <c r="O344" s="29"/>
      <c r="P344" s="81"/>
      <c r="Q344" s="82"/>
    </row>
    <row r="345">
      <c r="A345" s="211">
        <v>40475.0</v>
      </c>
      <c r="B345" s="211">
        <v>40475.0</v>
      </c>
      <c r="C345" s="35" t="s">
        <v>185</v>
      </c>
      <c r="D345" s="35" t="s">
        <v>946</v>
      </c>
      <c r="E345" s="86" t="str">
        <f>HYPERLINK("https://youtu.be/bBsMK1eQ7A8","LINK - YT")</f>
        <v>LINK - YT</v>
      </c>
      <c r="F345" s="87">
        <v>0.3451388888888889</v>
      </c>
      <c r="G345" s="78"/>
      <c r="H345" s="80" t="s">
        <v>1269</v>
      </c>
      <c r="I345" s="80" t="s">
        <v>1267</v>
      </c>
      <c r="J345" s="80" t="s">
        <v>613</v>
      </c>
      <c r="K345" s="79"/>
      <c r="L345" s="79"/>
      <c r="M345" s="30"/>
      <c r="O345" s="29"/>
      <c r="P345" s="81"/>
      <c r="Q345" s="82"/>
    </row>
    <row r="346">
      <c r="A346" s="211">
        <v>40474.0</v>
      </c>
      <c r="B346" s="211">
        <v>40474.0</v>
      </c>
      <c r="C346" s="35" t="s">
        <v>185</v>
      </c>
      <c r="D346" s="35" t="s">
        <v>946</v>
      </c>
      <c r="E346" s="86" t="str">
        <f>HYPERLINK("https://youtu.be/KF2miwIWOE4","LINK - YT")</f>
        <v>LINK - YT</v>
      </c>
      <c r="F346" s="218" t="s">
        <v>1270</v>
      </c>
      <c r="G346" s="78"/>
      <c r="H346" s="80" t="s">
        <v>1271</v>
      </c>
      <c r="I346" s="80" t="s">
        <v>1267</v>
      </c>
      <c r="J346" s="80"/>
      <c r="K346" s="79"/>
      <c r="L346" s="79" t="s">
        <v>1272</v>
      </c>
      <c r="M346" s="30"/>
      <c r="O346" s="29"/>
      <c r="P346" s="81"/>
      <c r="Q346" s="82"/>
    </row>
    <row r="347">
      <c r="A347" s="211">
        <v>40473.0</v>
      </c>
      <c r="B347" s="211">
        <v>40473.0</v>
      </c>
      <c r="C347" s="35" t="s">
        <v>185</v>
      </c>
      <c r="D347" s="35" t="s">
        <v>801</v>
      </c>
      <c r="E347" s="86" t="str">
        <f>HYPERLINK("https://youtu.be/CLeFVVTYWbU","LINK - YT")</f>
        <v>LINK - YT</v>
      </c>
      <c r="F347" s="146" t="s">
        <v>1273</v>
      </c>
      <c r="G347" s="78"/>
      <c r="H347" s="80" t="s">
        <v>1274</v>
      </c>
      <c r="I347" s="80" t="s">
        <v>1275</v>
      </c>
      <c r="J347" s="80" t="s">
        <v>613</v>
      </c>
      <c r="K347" s="79"/>
      <c r="L347" s="79"/>
      <c r="M347" s="30"/>
      <c r="O347" s="29"/>
      <c r="P347" s="81"/>
      <c r="Q347" s="82"/>
    </row>
    <row r="348">
      <c r="A348" s="211">
        <v>40412.0</v>
      </c>
      <c r="B348" s="211">
        <v>40412.0</v>
      </c>
      <c r="C348" s="35" t="s">
        <v>185</v>
      </c>
      <c r="D348" s="35" t="s">
        <v>801</v>
      </c>
      <c r="E348" s="86" t="str">
        <f>HYPERLINK("https://youtu.be/QzaDtt5VGuw","LINK - YT")</f>
        <v>LINK - YT</v>
      </c>
      <c r="F348" s="87">
        <v>0.3229166666666667</v>
      </c>
      <c r="G348" s="78"/>
      <c r="H348" s="80" t="s">
        <v>1276</v>
      </c>
      <c r="I348" s="80" t="s">
        <v>1277</v>
      </c>
      <c r="J348" s="80" t="s">
        <v>613</v>
      </c>
      <c r="K348" s="79"/>
      <c r="L348" s="79"/>
      <c r="M348" s="30"/>
      <c r="O348" s="91"/>
      <c r="P348" s="81"/>
      <c r="Q348" s="82"/>
    </row>
    <row r="349">
      <c r="A349" s="211">
        <v>40401.0</v>
      </c>
      <c r="B349" s="211"/>
      <c r="C349" s="35" t="s">
        <v>185</v>
      </c>
      <c r="D349" s="35" t="s">
        <v>469</v>
      </c>
      <c r="E349" s="86" t="str">
        <f>HYPERLINK("https://youtu.be/NGJOcpZAhNE","LINK - YT")</f>
        <v>LINK - YT</v>
      </c>
      <c r="F349" s="146" t="s">
        <v>1278</v>
      </c>
      <c r="G349" s="78"/>
      <c r="H349" s="80" t="s">
        <v>1279</v>
      </c>
      <c r="I349" s="79"/>
      <c r="J349" s="79"/>
      <c r="K349" s="79"/>
      <c r="L349" s="79"/>
      <c r="M349" s="30"/>
      <c r="O349" s="96" t="str">
        <f>HYPERLINK("https://www.pinterest.nz/pin/640426009488047960/","MEME")</f>
        <v>MEME</v>
      </c>
      <c r="P349" s="81"/>
      <c r="Q349" s="82"/>
    </row>
    <row r="350">
      <c r="A350" s="211">
        <v>40391.0</v>
      </c>
      <c r="B350" s="211">
        <v>40391.0</v>
      </c>
      <c r="C350" s="35" t="s">
        <v>185</v>
      </c>
      <c r="D350" s="35" t="s">
        <v>1280</v>
      </c>
      <c r="E350" s="86" t="str">
        <f>HYPERLINK("https://www.sbs.com.au/news/dateline/story/inside-wikileaks","LINK - SBS")</f>
        <v>LINK - SBS</v>
      </c>
      <c r="F350" s="146" t="s">
        <v>1281</v>
      </c>
      <c r="G350" s="78"/>
      <c r="H350" s="80" t="s">
        <v>1282</v>
      </c>
      <c r="I350" s="79"/>
      <c r="J350" s="80" t="s">
        <v>1209</v>
      </c>
      <c r="K350" s="79"/>
      <c r="L350" s="79"/>
      <c r="M350" s="30"/>
      <c r="N350" s="86" t="str">
        <f>HYPERLINK("https://www.sbs.com.au/news/dateline/story/inside-wikileaks","LINK - Website")</f>
        <v>LINK - Website</v>
      </c>
      <c r="O350" s="29"/>
      <c r="P350" s="81"/>
      <c r="Q350" s="82"/>
    </row>
    <row r="351">
      <c r="A351" s="211">
        <v>40394.0</v>
      </c>
      <c r="B351" s="211">
        <v>40391.0</v>
      </c>
      <c r="C351" s="35" t="s">
        <v>185</v>
      </c>
      <c r="D351" s="35" t="s">
        <v>469</v>
      </c>
      <c r="E351" s="86" t="str">
        <f>HYPERLINK("https://youtu.be/QVPZsTSYhaY","LINK - YT")</f>
        <v>LINK - YT</v>
      </c>
      <c r="F351" s="146" t="s">
        <v>1283</v>
      </c>
      <c r="G351" s="78"/>
      <c r="H351" s="176" t="s">
        <v>1284</v>
      </c>
      <c r="I351" s="79"/>
      <c r="J351" s="79"/>
      <c r="K351" s="79"/>
      <c r="L351" s="79"/>
      <c r="M351" s="30"/>
      <c r="N351" s="30"/>
      <c r="O351" s="29"/>
      <c r="P351" s="81"/>
      <c r="Q351" s="82"/>
    </row>
    <row r="352">
      <c r="A352" s="211">
        <v>40394.0</v>
      </c>
      <c r="B352" s="211">
        <v>40391.0</v>
      </c>
      <c r="C352" s="35" t="s">
        <v>185</v>
      </c>
      <c r="D352" s="35" t="s">
        <v>469</v>
      </c>
      <c r="E352" s="86" t="str">
        <f>HYPERLINK("https://youtu.be/bREdYqPP3Mo","LINK - YT")</f>
        <v>LINK - YT</v>
      </c>
      <c r="F352" s="146" t="s">
        <v>1285</v>
      </c>
      <c r="G352" s="78"/>
      <c r="H352" s="176" t="s">
        <v>1286</v>
      </c>
      <c r="I352" s="79"/>
      <c r="J352" s="79"/>
      <c r="K352" s="79"/>
      <c r="L352" s="79"/>
      <c r="M352" s="30"/>
      <c r="N352" s="30"/>
      <c r="O352" s="29"/>
      <c r="P352" s="81"/>
      <c r="Q352" s="82"/>
    </row>
    <row r="353">
      <c r="A353" s="211">
        <v>40394.0</v>
      </c>
      <c r="B353" s="211">
        <v>40391.0</v>
      </c>
      <c r="C353" s="35" t="s">
        <v>185</v>
      </c>
      <c r="D353" s="35" t="s">
        <v>469</v>
      </c>
      <c r="E353" s="86" t="str">
        <f>HYPERLINK("https://youtu.be/JGep4onxwD0","LINK - YT")</f>
        <v>LINK - YT</v>
      </c>
      <c r="F353" s="146" t="s">
        <v>1287</v>
      </c>
      <c r="G353" s="78"/>
      <c r="H353" s="176" t="s">
        <v>1288</v>
      </c>
      <c r="I353" s="79"/>
      <c r="J353" s="79"/>
      <c r="K353" s="79"/>
      <c r="L353" s="79"/>
      <c r="M353" s="30"/>
      <c r="N353" s="30"/>
      <c r="O353" s="29"/>
      <c r="P353" s="81"/>
      <c r="Q353" s="82"/>
    </row>
    <row r="354">
      <c r="A354" s="211">
        <v>40389.0</v>
      </c>
      <c r="B354" s="211">
        <v>40389.0</v>
      </c>
      <c r="C354" s="35" t="s">
        <v>185</v>
      </c>
      <c r="D354" s="35" t="s">
        <v>469</v>
      </c>
      <c r="E354" s="86" t="str">
        <f>HYPERLINK("https://youtu.be/Jxmvsc-634E","LINK - YT")</f>
        <v>LINK - YT</v>
      </c>
      <c r="F354" s="87">
        <v>0.12708333333333333</v>
      </c>
      <c r="G354" s="78"/>
      <c r="H354" s="80" t="s">
        <v>1289</v>
      </c>
      <c r="I354" s="80" t="s">
        <v>1290</v>
      </c>
      <c r="J354" s="80" t="s">
        <v>613</v>
      </c>
      <c r="K354" s="80" t="s">
        <v>1291</v>
      </c>
      <c r="L354" s="79"/>
      <c r="M354" s="30"/>
      <c r="N354" s="36"/>
      <c r="O354" s="29"/>
      <c r="P354" s="81"/>
      <c r="Q354" s="82"/>
    </row>
    <row r="355">
      <c r="A355" s="211">
        <v>40387.0</v>
      </c>
      <c r="B355" s="211"/>
      <c r="C355" s="35" t="s">
        <v>185</v>
      </c>
      <c r="D355" s="35" t="s">
        <v>1292</v>
      </c>
      <c r="E355" s="86" t="str">
        <f>HYPERLINK("https://youtu.be/E_HPLHIBTtA","LINK - YT")</f>
        <v>LINK - YT</v>
      </c>
      <c r="F355" s="87">
        <v>0.44305555555555554</v>
      </c>
      <c r="G355" s="78"/>
      <c r="H355" s="80" t="s">
        <v>1293</v>
      </c>
      <c r="I355" s="80" t="s">
        <v>1294</v>
      </c>
      <c r="J355" s="80" t="s">
        <v>613</v>
      </c>
      <c r="K355" s="80" t="s">
        <v>1068</v>
      </c>
      <c r="L355" s="79"/>
      <c r="M355" s="30"/>
      <c r="N355" s="36"/>
      <c r="O355" s="29"/>
      <c r="P355" s="81"/>
      <c r="Q355" s="82"/>
    </row>
    <row r="356">
      <c r="A356" s="211">
        <v>40379.0</v>
      </c>
      <c r="B356" s="211"/>
      <c r="C356" s="35" t="s">
        <v>245</v>
      </c>
      <c r="D356" s="35" t="s">
        <v>1295</v>
      </c>
      <c r="E356" s="36" t="s">
        <v>1296</v>
      </c>
      <c r="F356" s="87"/>
      <c r="G356" s="122" t="str">
        <f>HYPERLINK("https://www.forbes.com/sites/andygreenberg/2010/11/29/an-interview-with-wikileaks-julian-assange/#1fc1921e2c27","TRANSCRIPT")</f>
        <v>TRANSCRIPT</v>
      </c>
      <c r="H356" s="80"/>
      <c r="I356" s="80"/>
      <c r="J356" s="80"/>
      <c r="K356" s="80"/>
      <c r="L356" s="79"/>
      <c r="M356" s="30"/>
      <c r="N356" s="36"/>
      <c r="O356" s="29"/>
      <c r="P356" s="81"/>
      <c r="Q356" s="82"/>
    </row>
    <row r="357">
      <c r="A357" s="211">
        <v>40385.0</v>
      </c>
      <c r="B357" s="211">
        <v>40385.0</v>
      </c>
      <c r="C357" s="35" t="s">
        <v>245</v>
      </c>
      <c r="D357" s="35" t="s">
        <v>743</v>
      </c>
      <c r="E357" s="36"/>
      <c r="F357" s="87"/>
      <c r="G357" s="122" t="str">
        <f>HYPERLINK("https://www.commondreams.org/news/2010/07/26/wikileaks-founder-julian-assange-war-logs-i-enjoy-crushing-bastards","TRANSCRIPT")</f>
        <v>TRANSCRIPT</v>
      </c>
      <c r="H357" s="80" t="s">
        <v>1297</v>
      </c>
      <c r="I357" s="80" t="s">
        <v>1294</v>
      </c>
      <c r="J357" s="80" t="s">
        <v>613</v>
      </c>
      <c r="K357" s="80" t="s">
        <v>972</v>
      </c>
      <c r="L357" s="79"/>
      <c r="M357" s="30"/>
      <c r="N357" s="36"/>
      <c r="O357" s="29"/>
      <c r="P357" s="81"/>
      <c r="Q357" s="82"/>
    </row>
    <row r="358">
      <c r="A358" s="211">
        <v>40384.0</v>
      </c>
      <c r="B358" s="211" t="s">
        <v>1298</v>
      </c>
      <c r="C358" s="35" t="s">
        <v>245</v>
      </c>
      <c r="D358" s="35" t="s">
        <v>1299</v>
      </c>
      <c r="E358" s="36"/>
      <c r="F358" s="87"/>
      <c r="G358" s="122" t="str">
        <f>HYPERLINK("https://www.channel4.com/news/wikileaks-founder-julian-assange-tells-all","ARTICLE")</f>
        <v>ARTICLE</v>
      </c>
      <c r="H358" s="80" t="s">
        <v>1300</v>
      </c>
      <c r="I358" s="80" t="s">
        <v>1294</v>
      </c>
      <c r="J358" s="80" t="s">
        <v>613</v>
      </c>
      <c r="K358" s="80"/>
      <c r="L358" s="79"/>
      <c r="M358" s="30"/>
      <c r="N358" s="36"/>
      <c r="O358" s="29"/>
      <c r="P358" s="81"/>
      <c r="Q358" s="82"/>
    </row>
    <row r="359">
      <c r="A359" s="111">
        <v>40384.0</v>
      </c>
      <c r="B359" s="111">
        <v>40384.0</v>
      </c>
      <c r="C359" s="111" t="s">
        <v>481</v>
      </c>
      <c r="D359" s="29"/>
      <c r="E359" s="36"/>
      <c r="F359" s="77"/>
      <c r="G359" s="78"/>
      <c r="H359" s="217" t="s">
        <v>1301</v>
      </c>
      <c r="I359" s="80" t="s">
        <v>1294</v>
      </c>
      <c r="J359" s="79"/>
      <c r="K359" s="79"/>
      <c r="L359" s="79"/>
      <c r="M359" s="30"/>
      <c r="N359" s="30"/>
      <c r="O359" s="29"/>
      <c r="P359" s="81"/>
      <c r="Q359" s="82"/>
    </row>
    <row r="360">
      <c r="A360" s="211">
        <v>40378.0</v>
      </c>
      <c r="B360" s="211">
        <v>40378.0</v>
      </c>
      <c r="C360" s="35" t="s">
        <v>185</v>
      </c>
      <c r="D360" s="35" t="s">
        <v>1302</v>
      </c>
      <c r="E360" s="86" t="str">
        <f>HYPERLINK("https://youtu.be/HNOnvp5t7Do","LINK - YT")</f>
        <v>LINK - YT</v>
      </c>
      <c r="F360" s="87">
        <v>0.8145833333333333</v>
      </c>
      <c r="G360" s="122" t="str">
        <f>HYPERLINK("https://www.ted.com/talks/julian_assange_why_the_world_needs_wikileaks/transcript","TRANSCRIPT")</f>
        <v>TRANSCRIPT</v>
      </c>
      <c r="H360" s="80" t="s">
        <v>1303</v>
      </c>
      <c r="I360" s="80" t="s">
        <v>1304</v>
      </c>
      <c r="J360" s="80" t="s">
        <v>1305</v>
      </c>
      <c r="K360" s="80"/>
      <c r="L360" s="79"/>
      <c r="M360" s="30"/>
      <c r="N360" s="36"/>
      <c r="O360" s="29"/>
      <c r="P360" s="81"/>
      <c r="Q360" s="82"/>
    </row>
    <row r="361">
      <c r="A361" s="211">
        <v>42563.0</v>
      </c>
      <c r="B361" s="219">
        <v>40360.0</v>
      </c>
      <c r="C361" s="35" t="s">
        <v>185</v>
      </c>
      <c r="D361" s="35" t="s">
        <v>1302</v>
      </c>
      <c r="E361" s="86" t="str">
        <f>HYPERLINK("https://youtu.be/8Qh4bFXDK3E","LINK - YT")</f>
        <v>LINK - YT</v>
      </c>
      <c r="F361" s="87">
        <v>1.020138888888889</v>
      </c>
      <c r="G361" s="78"/>
      <c r="H361" s="80" t="s">
        <v>1306</v>
      </c>
      <c r="I361" s="80"/>
      <c r="J361" s="80" t="s">
        <v>846</v>
      </c>
      <c r="K361" s="80"/>
      <c r="L361" s="79"/>
      <c r="M361" s="30"/>
      <c r="N361" s="36"/>
      <c r="O361" s="29"/>
      <c r="P361" s="81"/>
      <c r="Q361" s="82"/>
    </row>
    <row r="362">
      <c r="A362" s="211">
        <v>40518.0</v>
      </c>
      <c r="B362" s="211">
        <v>40350.0</v>
      </c>
      <c r="C362" s="35" t="s">
        <v>185</v>
      </c>
      <c r="D362" s="35" t="s">
        <v>469</v>
      </c>
      <c r="E362" s="86" t="str">
        <f>HYPERLINK("https://youtu.be/wO8pclGN5II?t=4108","LINK - YT")</f>
        <v>LINK - YT</v>
      </c>
      <c r="F362" s="146" t="s">
        <v>1307</v>
      </c>
      <c r="G362" s="78"/>
      <c r="H362" s="80" t="s">
        <v>1308</v>
      </c>
      <c r="I362" s="80"/>
      <c r="J362" s="80" t="s">
        <v>1309</v>
      </c>
      <c r="K362" s="80" t="s">
        <v>1310</v>
      </c>
      <c r="L362" s="80" t="s">
        <v>1311</v>
      </c>
      <c r="M362" s="30"/>
      <c r="N362" s="36"/>
      <c r="O362" s="29"/>
      <c r="P362" s="81"/>
      <c r="Q362" s="82"/>
    </row>
    <row r="363">
      <c r="A363" s="211">
        <v>40314.0</v>
      </c>
      <c r="B363" s="211">
        <v>40314.0</v>
      </c>
      <c r="C363" s="35" t="s">
        <v>185</v>
      </c>
      <c r="D363" s="35" t="s">
        <v>1280</v>
      </c>
      <c r="E363" s="86" t="str">
        <f>HYPERLINK("https://www.sbs.com.au/news/dateline/story/whistleblower","LINK - SBS")</f>
        <v>LINK - SBS</v>
      </c>
      <c r="F363" s="146" t="s">
        <v>1086</v>
      </c>
      <c r="G363" s="78"/>
      <c r="H363" s="80" t="s">
        <v>1312</v>
      </c>
      <c r="I363" s="80" t="s">
        <v>1313</v>
      </c>
      <c r="J363" s="80" t="s">
        <v>1215</v>
      </c>
      <c r="K363" s="80" t="s">
        <v>1314</v>
      </c>
      <c r="L363" s="79"/>
      <c r="M363" s="30"/>
      <c r="N363" s="86" t="str">
        <f>HYPERLINK("https://www.sbs.com.au/news/dateline/story/whistleblower","LINK - Website")</f>
        <v>LINK - Website</v>
      </c>
      <c r="O363" s="29"/>
      <c r="P363" s="81"/>
      <c r="Q363" s="82"/>
    </row>
    <row r="364">
      <c r="A364" s="211">
        <v>40315.0</v>
      </c>
      <c r="B364" s="211">
        <v>40314.0</v>
      </c>
      <c r="C364" s="35" t="s">
        <v>185</v>
      </c>
      <c r="D364" s="35" t="s">
        <v>469</v>
      </c>
      <c r="E364" s="86" t="str">
        <f>HYPERLINK("https://youtu.be/mXj72pNb6U0","LINK - YT")</f>
        <v>LINK - YT</v>
      </c>
      <c r="F364" s="146" t="s">
        <v>1315</v>
      </c>
      <c r="G364" s="78"/>
      <c r="H364" s="176" t="s">
        <v>1316</v>
      </c>
      <c r="I364" s="79"/>
      <c r="J364" s="80"/>
      <c r="K364" s="80"/>
      <c r="L364" s="79"/>
      <c r="M364" s="30"/>
      <c r="N364" s="36"/>
      <c r="O364" s="29"/>
      <c r="P364" s="81"/>
      <c r="Q364" s="82"/>
    </row>
    <row r="365">
      <c r="A365" s="211">
        <v>40315.0</v>
      </c>
      <c r="B365" s="211">
        <v>40314.0</v>
      </c>
      <c r="C365" s="35" t="s">
        <v>185</v>
      </c>
      <c r="D365" s="35" t="s">
        <v>469</v>
      </c>
      <c r="E365" s="86" t="str">
        <f>HYPERLINK("https://youtu.be/ZBbS4btirUE","LINK - YT")</f>
        <v>LINK - YT</v>
      </c>
      <c r="F365" s="146" t="s">
        <v>1317</v>
      </c>
      <c r="G365" s="78"/>
      <c r="H365" s="176" t="s">
        <v>1318</v>
      </c>
      <c r="I365" s="79"/>
      <c r="J365" s="80"/>
      <c r="K365" s="80"/>
      <c r="L365" s="79"/>
      <c r="M365" s="30"/>
      <c r="N365" s="36"/>
      <c r="O365" s="29"/>
      <c r="P365" s="81"/>
      <c r="Q365" s="82"/>
    </row>
    <row r="366">
      <c r="A366" s="211">
        <v>43284.0</v>
      </c>
      <c r="B366" s="211">
        <v>40294.0</v>
      </c>
      <c r="C366" s="35" t="s">
        <v>185</v>
      </c>
      <c r="D366" s="35" t="s">
        <v>469</v>
      </c>
      <c r="E366" s="86" t="str">
        <f>HYPERLINK("https://youtu.be/nXyN4KQmu-c","LINK - YT")</f>
        <v>LINK - YT</v>
      </c>
      <c r="F366" s="146" t="s">
        <v>1319</v>
      </c>
      <c r="G366" s="153"/>
      <c r="H366" s="80" t="s">
        <v>1320</v>
      </c>
      <c r="I366" s="79"/>
      <c r="J366" s="80" t="s">
        <v>1321</v>
      </c>
      <c r="K366" s="80" t="s">
        <v>1322</v>
      </c>
      <c r="L366" s="79"/>
      <c r="M366" s="30"/>
      <c r="N366" s="30"/>
      <c r="O366" s="91"/>
      <c r="P366" s="81"/>
      <c r="Q366" s="82"/>
    </row>
    <row r="367">
      <c r="A367" s="211">
        <v>40316.0</v>
      </c>
      <c r="B367" s="211">
        <v>40294.0</v>
      </c>
      <c r="C367" s="35" t="s">
        <v>185</v>
      </c>
      <c r="D367" s="35" t="s">
        <v>469</v>
      </c>
      <c r="E367" s="86" t="str">
        <f>HYPERLINK("https://youtu.be/qDvfQ5gZ-Jw","LINK - YT")</f>
        <v>LINK - YT</v>
      </c>
      <c r="F367" s="146" t="s">
        <v>1323</v>
      </c>
      <c r="G367" s="122" t="str">
        <f>HYPERLINK("https://www.religiousforums.com/threads/transcript-of-julian-assange-wikileaks-speech-2010-oslo-freedom-forum-april-2010.101236/","TRANSCRIPT")</f>
        <v>TRANSCRIPT</v>
      </c>
      <c r="H367" s="80" t="s">
        <v>1324</v>
      </c>
      <c r="I367" s="79"/>
      <c r="J367" s="80" t="s">
        <v>613</v>
      </c>
      <c r="K367" s="80" t="s">
        <v>1325</v>
      </c>
      <c r="L367" s="79"/>
      <c r="M367" s="30"/>
      <c r="N367" s="30"/>
      <c r="O367" s="96" t="str">
        <f>HYPERLINK("https://i.pinimg.com/564x/cf/37/9e/cf379ef5136e8bbde6edb119abf47efc.jpg","MEME")</f>
        <v>MEME</v>
      </c>
      <c r="P367" s="81"/>
      <c r="Q367" s="82"/>
    </row>
    <row r="368">
      <c r="A368" s="211">
        <v>40353.0</v>
      </c>
      <c r="B368" s="211">
        <v>40286.0</v>
      </c>
      <c r="C368" s="35" t="s">
        <v>185</v>
      </c>
      <c r="D368" s="35" t="s">
        <v>1326</v>
      </c>
      <c r="E368" s="86" t="str">
        <f>HYPERLINK("https://youtu.be/wBENlJfZ-f8","LINK - YT")</f>
        <v>LINK - YT</v>
      </c>
      <c r="F368" s="146" t="s">
        <v>1327</v>
      </c>
      <c r="G368" s="122" t="str">
        <f>HYPERLINK("https://zunguzungu.wordpress.com/2010/12/12/julian-assange-in-berkeley/","TRANSCRIPT")</f>
        <v>TRANSCRIPT</v>
      </c>
      <c r="H368" s="80" t="s">
        <v>1328</v>
      </c>
      <c r="I368" s="79"/>
      <c r="J368" s="80" t="s">
        <v>613</v>
      </c>
      <c r="K368" s="80" t="s">
        <v>1329</v>
      </c>
      <c r="L368" s="79"/>
      <c r="M368" s="30"/>
      <c r="N368" s="86" t="str">
        <f>HYPERLINK("https://i.pinimg.com/564x/dc/31/36/dc313645d4fc1eb12f2aeb2d11efc0b7.jpg","MEME")</f>
        <v>MEME</v>
      </c>
      <c r="O368" s="96" t="str">
        <f>HYPERLINK("https://i.pinimg.com/564x/7e/66/5d/7e665de904225fff4f5ee350a0f3c541.jpg","MEME")</f>
        <v>MEME</v>
      </c>
      <c r="P368" s="81"/>
      <c r="Q368" s="82"/>
    </row>
    <row r="369">
      <c r="A369" s="211">
        <v>40298.0</v>
      </c>
      <c r="B369" s="211">
        <v>40286.0</v>
      </c>
      <c r="C369" s="132" t="s">
        <v>185</v>
      </c>
      <c r="D369" s="132" t="s">
        <v>1326</v>
      </c>
      <c r="E369" s="86" t="str">
        <f>HYPERLINK("https://youtu.be/eILp50-jmmw","LINK - YT")</f>
        <v>LINK - YT</v>
      </c>
      <c r="F369" s="87">
        <v>0.12638888888888888</v>
      </c>
      <c r="G369" s="78"/>
      <c r="H369" s="80" t="s">
        <v>1330</v>
      </c>
      <c r="I369" s="80"/>
      <c r="J369" s="80" t="s">
        <v>613</v>
      </c>
      <c r="K369" s="80" t="s">
        <v>1329</v>
      </c>
      <c r="L369" s="80"/>
      <c r="M369" s="30"/>
      <c r="N369" s="36"/>
      <c r="O369" s="91"/>
      <c r="P369" s="81"/>
      <c r="Q369" s="82"/>
    </row>
    <row r="370">
      <c r="A370" s="211">
        <v>40284.0</v>
      </c>
      <c r="B370" s="211"/>
      <c r="C370" s="220"/>
      <c r="D370" s="132" t="s">
        <v>469</v>
      </c>
      <c r="E370" s="36" t="s">
        <v>1331</v>
      </c>
      <c r="F370" s="64"/>
      <c r="G370" s="78"/>
      <c r="H370" s="80" t="s">
        <v>1332</v>
      </c>
      <c r="I370" s="80" t="s">
        <v>1333</v>
      </c>
      <c r="J370" s="80" t="s">
        <v>613</v>
      </c>
      <c r="K370" s="80" t="s">
        <v>1068</v>
      </c>
      <c r="L370" s="80" t="s">
        <v>1334</v>
      </c>
      <c r="M370" s="30"/>
      <c r="N370" s="36"/>
      <c r="O370" s="91"/>
      <c r="P370" s="81"/>
      <c r="Q370" s="82"/>
    </row>
    <row r="371">
      <c r="A371" s="211">
        <v>40280.0</v>
      </c>
      <c r="B371" s="211">
        <v>40280.0</v>
      </c>
      <c r="C371" s="35" t="s">
        <v>185</v>
      </c>
      <c r="D371" s="132" t="s">
        <v>1335</v>
      </c>
      <c r="E371" s="86" t="str">
        <f>HYPERLINK("http://www.cc.com/video-clips/5mdm7i/the-colbert-report-exclusive---julian-assange-extended-interview","LINK-CR")</f>
        <v>LINK-CR</v>
      </c>
      <c r="F371" s="146" t="s">
        <v>1336</v>
      </c>
      <c r="G371" s="78"/>
      <c r="H371" s="80" t="s">
        <v>1337</v>
      </c>
      <c r="I371" s="80" t="s">
        <v>1333</v>
      </c>
      <c r="J371" s="80" t="s">
        <v>1338</v>
      </c>
      <c r="K371" s="80" t="s">
        <v>1329</v>
      </c>
      <c r="L371" s="79"/>
      <c r="M371" s="30"/>
      <c r="N371" s="36"/>
      <c r="O371" s="91"/>
      <c r="P371" s="81"/>
      <c r="Q371" s="82"/>
    </row>
    <row r="372">
      <c r="A372" s="215" t="s">
        <v>1339</v>
      </c>
      <c r="B372" s="211">
        <v>40274.0</v>
      </c>
      <c r="C372" s="35" t="s">
        <v>185</v>
      </c>
      <c r="D372" s="132" t="s">
        <v>946</v>
      </c>
      <c r="E372" s="86" t="str">
        <f>HYPERLINK("https://youtu.be/7QEdAykXxoM","LINK - YT")</f>
        <v>LINK - YT</v>
      </c>
      <c r="F372" s="87">
        <v>0.30625</v>
      </c>
      <c r="G372" s="78"/>
      <c r="H372" s="80" t="s">
        <v>1340</v>
      </c>
      <c r="I372" s="80" t="s">
        <v>1333</v>
      </c>
      <c r="J372" s="80" t="s">
        <v>613</v>
      </c>
      <c r="K372" s="80" t="s">
        <v>1329</v>
      </c>
      <c r="L372" s="79"/>
      <c r="M372" s="30"/>
      <c r="N372" s="36"/>
      <c r="O372" s="91"/>
      <c r="P372" s="81"/>
      <c r="Q372" s="82"/>
    </row>
    <row r="373">
      <c r="A373" s="221">
        <v>40273.0</v>
      </c>
      <c r="B373" s="211">
        <v>40273.0</v>
      </c>
      <c r="C373" s="35" t="s">
        <v>185</v>
      </c>
      <c r="D373" s="132" t="s">
        <v>1341</v>
      </c>
      <c r="E373" s="86" t="str">
        <f>HYPERLINK("https://youtu.be/7sYXppiOteM","LINK - YT")</f>
        <v>LINK - YT</v>
      </c>
      <c r="F373" s="87">
        <v>0.4041666666666667</v>
      </c>
      <c r="G373" s="78"/>
      <c r="H373" s="80" t="s">
        <v>1342</v>
      </c>
      <c r="I373" s="80" t="s">
        <v>1343</v>
      </c>
      <c r="J373" s="80" t="s">
        <v>613</v>
      </c>
      <c r="K373" s="80" t="s">
        <v>1329</v>
      </c>
      <c r="L373" s="79"/>
      <c r="M373" s="30"/>
      <c r="N373" s="36"/>
      <c r="O373" s="91"/>
      <c r="P373" s="81"/>
      <c r="Q373" s="82"/>
    </row>
    <row r="374">
      <c r="A374" s="111">
        <v>40273.0</v>
      </c>
      <c r="B374" s="111">
        <v>40273.0</v>
      </c>
      <c r="C374" s="111" t="s">
        <v>481</v>
      </c>
      <c r="D374" s="29"/>
      <c r="E374" s="86" t="str">
        <f>HYPERLINK("https://collateralmurder.wikileaks.org/","LINK - WL")</f>
        <v>LINK - WL</v>
      </c>
      <c r="F374" s="77"/>
      <c r="G374" s="78"/>
      <c r="H374" s="217" t="s">
        <v>1344</v>
      </c>
      <c r="I374" s="80"/>
      <c r="J374" s="79"/>
      <c r="K374" s="79"/>
      <c r="L374" s="79"/>
      <c r="M374" s="30"/>
      <c r="N374" s="30"/>
      <c r="O374" s="29"/>
      <c r="P374" s="81"/>
      <c r="Q374" s="82"/>
    </row>
    <row r="375">
      <c r="A375" s="211">
        <v>40262.0</v>
      </c>
      <c r="B375" s="211">
        <v>40262.0</v>
      </c>
      <c r="C375" s="35"/>
      <c r="D375" s="35"/>
      <c r="E375" s="36"/>
      <c r="F375" s="77"/>
      <c r="G375" s="122" t="str">
        <f>HYPERLINK("https://file.wikileaks.org/file/us-intel-wikileaks.pdf","Statement &amp; Document")</f>
        <v>Statement &amp; Document</v>
      </c>
      <c r="H375" s="80" t="s">
        <v>1345</v>
      </c>
      <c r="I375" s="80"/>
      <c r="J375" s="80"/>
      <c r="K375" s="222"/>
      <c r="L375" s="79"/>
      <c r="M375" s="30"/>
      <c r="N375" s="30"/>
      <c r="O375" s="96" t="str">
        <f>HYPERLINK("https://www.pinterest.nz/pin/640426009487440140/","Pinterest")</f>
        <v>Pinterest</v>
      </c>
      <c r="P375" s="81"/>
      <c r="Q375" s="82"/>
    </row>
    <row r="376">
      <c r="A376" s="169">
        <v>40177.0</v>
      </c>
      <c r="B376" s="172">
        <v>40174.0</v>
      </c>
      <c r="C376" s="35" t="s">
        <v>185</v>
      </c>
      <c r="D376" s="35" t="s">
        <v>413</v>
      </c>
      <c r="E376" s="86" t="str">
        <f>HYPERLINK("https://youtu.be/8zNFe1mQ6Tc","LINK - YT")</f>
        <v>LINK - YT</v>
      </c>
      <c r="F376" s="77"/>
      <c r="G376" s="78"/>
      <c r="H376" s="80" t="s">
        <v>1346</v>
      </c>
      <c r="I376" s="80" t="s">
        <v>1347</v>
      </c>
      <c r="J376" s="80" t="s">
        <v>1348</v>
      </c>
      <c r="K376" s="222" t="s">
        <v>1349</v>
      </c>
      <c r="L376" s="79"/>
      <c r="M376" s="30"/>
      <c r="N376" s="30"/>
      <c r="O376" s="29"/>
      <c r="P376" s="81"/>
      <c r="Q376" s="82"/>
    </row>
    <row r="377">
      <c r="A377" s="169">
        <v>40177.0</v>
      </c>
      <c r="B377" s="172">
        <v>40174.0</v>
      </c>
      <c r="C377" s="35" t="s">
        <v>185</v>
      </c>
      <c r="D377" s="35" t="s">
        <v>413</v>
      </c>
      <c r="E377" s="86" t="str">
        <f>HYPERLINK("https://youtu.be/ANLSKRc8N94","LINK - YT")</f>
        <v>LINK - YT</v>
      </c>
      <c r="F377" s="77"/>
      <c r="G377" s="78"/>
      <c r="H377" s="80" t="s">
        <v>1350</v>
      </c>
      <c r="I377" s="80" t="s">
        <v>1351</v>
      </c>
      <c r="J377" s="64" t="s">
        <v>1352</v>
      </c>
      <c r="K377" s="222"/>
      <c r="L377" s="79"/>
      <c r="M377" s="30"/>
      <c r="N377" s="30"/>
      <c r="O377" s="29"/>
      <c r="P377" s="81"/>
      <c r="Q377" s="82"/>
    </row>
    <row r="378">
      <c r="A378" s="169">
        <v>40177.0</v>
      </c>
      <c r="B378" s="172">
        <v>40174.0</v>
      </c>
      <c r="C378" s="35" t="s">
        <v>185</v>
      </c>
      <c r="D378" s="35" t="s">
        <v>413</v>
      </c>
      <c r="E378" s="86" t="str">
        <f>HYPERLINK("https://youtu.be/3brdA5dSqZo","LINK - YT")</f>
        <v>LINK - YT</v>
      </c>
      <c r="F378" s="77"/>
      <c r="G378" s="78"/>
      <c r="H378" s="80" t="s">
        <v>1353</v>
      </c>
      <c r="I378" s="80" t="s">
        <v>1354</v>
      </c>
      <c r="J378" s="64" t="s">
        <v>1352</v>
      </c>
      <c r="K378" s="222"/>
      <c r="L378" s="79"/>
      <c r="M378" s="30"/>
      <c r="N378" s="30"/>
      <c r="O378" s="29"/>
      <c r="P378" s="81"/>
      <c r="Q378" s="82"/>
    </row>
    <row r="379">
      <c r="A379" s="169">
        <v>40177.0</v>
      </c>
      <c r="B379" s="172">
        <v>40174.0</v>
      </c>
      <c r="C379" s="35" t="s">
        <v>185</v>
      </c>
      <c r="D379" s="35" t="s">
        <v>413</v>
      </c>
      <c r="E379" s="86" t="str">
        <f>HYPERLINK("https://youtu.be/VWNfIvG4z-g","LINK - YT")</f>
        <v>LINK - YT</v>
      </c>
      <c r="F379" s="77"/>
      <c r="G379" s="78"/>
      <c r="H379" s="80" t="s">
        <v>1355</v>
      </c>
      <c r="I379" s="80" t="s">
        <v>1356</v>
      </c>
      <c r="J379" s="64" t="s">
        <v>1352</v>
      </c>
      <c r="K379" s="222"/>
      <c r="L379" s="79"/>
      <c r="M379" s="30"/>
      <c r="N379" s="30"/>
      <c r="O379" s="29"/>
      <c r="P379" s="81"/>
      <c r="Q379" s="82"/>
    </row>
    <row r="380">
      <c r="A380" s="169">
        <v>40177.0</v>
      </c>
      <c r="B380" s="172">
        <v>40174.0</v>
      </c>
      <c r="C380" s="35" t="s">
        <v>185</v>
      </c>
      <c r="D380" s="35" t="s">
        <v>413</v>
      </c>
      <c r="E380" s="86" t="str">
        <f>HYPERLINK("https://youtu.be/8GjkEdBHM4o","LINK - YT")</f>
        <v>LINK - YT</v>
      </c>
      <c r="F380" s="87">
        <v>0.4166666666666667</v>
      </c>
      <c r="G380" s="78"/>
      <c r="H380" s="80" t="s">
        <v>1357</v>
      </c>
      <c r="I380" s="80" t="s">
        <v>1358</v>
      </c>
      <c r="J380" s="64" t="s">
        <v>1352</v>
      </c>
      <c r="K380" s="222"/>
      <c r="L380" s="79"/>
      <c r="M380" s="30"/>
      <c r="N380" s="30"/>
      <c r="O380" s="29"/>
      <c r="P380" s="81"/>
      <c r="Q380" s="82"/>
    </row>
    <row r="381">
      <c r="A381" s="169">
        <v>40177.0</v>
      </c>
      <c r="B381" s="172">
        <v>40174.0</v>
      </c>
      <c r="C381" s="35" t="s">
        <v>185</v>
      </c>
      <c r="D381" s="35" t="s">
        <v>413</v>
      </c>
      <c r="E381" s="86" t="str">
        <f>HYPERLINK("https://youtu.be/FLNrZDk6op8","LINK - YT")</f>
        <v>LINK - YT</v>
      </c>
      <c r="F381" s="131">
        <v>0.4166666666666667</v>
      </c>
      <c r="G381" s="78"/>
      <c r="H381" s="80" t="s">
        <v>1359</v>
      </c>
      <c r="I381" s="80" t="s">
        <v>1360</v>
      </c>
      <c r="J381" s="64" t="s">
        <v>1352</v>
      </c>
      <c r="K381" s="222"/>
      <c r="L381" s="79"/>
      <c r="M381" s="30"/>
      <c r="N381" s="30"/>
      <c r="O381" s="29"/>
      <c r="P381" s="81"/>
      <c r="Q381" s="82"/>
    </row>
    <row r="382">
      <c r="A382" s="169">
        <v>40177.0</v>
      </c>
      <c r="B382" s="172">
        <v>40174.0</v>
      </c>
      <c r="C382" s="35" t="s">
        <v>185</v>
      </c>
      <c r="D382" s="35" t="s">
        <v>413</v>
      </c>
      <c r="E382" s="86" t="str">
        <f>HYPERLINK("https://youtu.be/U9QgjDlW9Rs","LINK - YT")</f>
        <v>LINK - YT</v>
      </c>
      <c r="F382" s="131">
        <v>0.12777777777777777</v>
      </c>
      <c r="G382" s="78"/>
      <c r="H382" s="80" t="s">
        <v>1361</v>
      </c>
      <c r="I382" s="80" t="s">
        <v>1362</v>
      </c>
      <c r="J382" s="64" t="s">
        <v>1352</v>
      </c>
      <c r="K382" s="222"/>
      <c r="L382" s="79"/>
      <c r="M382" s="30"/>
      <c r="N382" s="30"/>
      <c r="O382" s="29"/>
      <c r="P382" s="81"/>
      <c r="Q382" s="82"/>
    </row>
    <row r="383">
      <c r="A383" s="169">
        <v>40346.0</v>
      </c>
      <c r="B383" s="172">
        <v>40134.0</v>
      </c>
      <c r="C383" s="35" t="s">
        <v>185</v>
      </c>
      <c r="D383" s="35" t="s">
        <v>469</v>
      </c>
      <c r="E383" s="86" t="str">
        <f>HYPERLINK("https://youtu.be/f68GR-XYzL8","LINK - YT")</f>
        <v>LINK - YT</v>
      </c>
      <c r="F383" s="77"/>
      <c r="G383" s="78"/>
      <c r="H383" s="80" t="s">
        <v>1363</v>
      </c>
      <c r="I383" s="80" t="s">
        <v>1364</v>
      </c>
      <c r="J383" s="80" t="s">
        <v>613</v>
      </c>
      <c r="K383" s="222" t="s">
        <v>1365</v>
      </c>
      <c r="L383" s="79"/>
      <c r="M383" s="30"/>
      <c r="N383" s="86" t="str">
        <f>HYPERLINK("https://twitter.com/i/moments/1091938781417168896","Twitter Moment")</f>
        <v>Twitter Moment</v>
      </c>
      <c r="O383" s="29"/>
      <c r="P383" s="81"/>
      <c r="Q383" s="82"/>
    </row>
    <row r="384">
      <c r="A384" s="169">
        <v>40346.0</v>
      </c>
      <c r="B384" s="172">
        <v>40134.0</v>
      </c>
      <c r="C384" s="35" t="s">
        <v>185</v>
      </c>
      <c r="D384" s="35" t="s">
        <v>469</v>
      </c>
      <c r="E384" s="86" t="str">
        <f>HYPERLINK("https://youtu.be/1tk4RZfwkIY","LINK - YT")</f>
        <v>LINK - YT</v>
      </c>
      <c r="F384" s="77"/>
      <c r="G384" s="78"/>
      <c r="H384" s="80" t="s">
        <v>1366</v>
      </c>
      <c r="I384" s="80" t="s">
        <v>1367</v>
      </c>
      <c r="J384" s="80" t="s">
        <v>613</v>
      </c>
      <c r="K384" s="222" t="s">
        <v>1365</v>
      </c>
      <c r="L384" s="79"/>
      <c r="M384" s="30"/>
      <c r="N384" s="30"/>
      <c r="O384" s="29"/>
      <c r="P384" s="81"/>
      <c r="Q384" s="82"/>
    </row>
    <row r="385">
      <c r="A385" s="169">
        <v>40346.0</v>
      </c>
      <c r="B385" s="172">
        <v>40134.0</v>
      </c>
      <c r="C385" s="35" t="s">
        <v>185</v>
      </c>
      <c r="D385" s="35" t="s">
        <v>469</v>
      </c>
      <c r="E385" s="86" t="str">
        <f>HYPERLINK("https://youtu.be/WmhKYAWqZts","LINK - YT")</f>
        <v>LINK - YT</v>
      </c>
      <c r="F385" s="77"/>
      <c r="G385" s="78"/>
      <c r="H385" s="80" t="s">
        <v>1368</v>
      </c>
      <c r="I385" s="80" t="s">
        <v>1369</v>
      </c>
      <c r="J385" s="80" t="s">
        <v>613</v>
      </c>
      <c r="K385" s="222" t="s">
        <v>1365</v>
      </c>
      <c r="L385" s="79"/>
      <c r="M385" s="30"/>
      <c r="N385" s="30"/>
      <c r="O385" s="29"/>
      <c r="P385" s="81"/>
      <c r="Q385" s="82"/>
    </row>
    <row r="386">
      <c r="A386" s="169">
        <v>40346.0</v>
      </c>
      <c r="B386" s="172">
        <v>40134.0</v>
      </c>
      <c r="C386" s="35" t="s">
        <v>185</v>
      </c>
      <c r="D386" s="35" t="s">
        <v>469</v>
      </c>
      <c r="E386" s="86" t="str">
        <f>HYPERLINK("https://youtu.be/ACQoIXoJn-o","LINK - YT")</f>
        <v>LINK - YT</v>
      </c>
      <c r="F386" s="77"/>
      <c r="G386" s="78"/>
      <c r="H386" s="80" t="s">
        <v>1370</v>
      </c>
      <c r="I386" s="80" t="s">
        <v>1371</v>
      </c>
      <c r="J386" s="80" t="s">
        <v>613</v>
      </c>
      <c r="K386" s="222" t="s">
        <v>1365</v>
      </c>
      <c r="L386" s="80" t="s">
        <v>1372</v>
      </c>
      <c r="M386" s="30"/>
      <c r="N386" s="30"/>
      <c r="O386" s="29"/>
      <c r="P386" s="81"/>
      <c r="Q386" s="82"/>
    </row>
    <row r="387">
      <c r="A387" s="169">
        <v>40346.0</v>
      </c>
      <c r="B387" s="172">
        <v>40134.0</v>
      </c>
      <c r="C387" s="35" t="s">
        <v>185</v>
      </c>
      <c r="D387" s="35" t="s">
        <v>469</v>
      </c>
      <c r="E387" s="86" t="str">
        <f>HYPERLINK("https://youtu.be/SzehsP5kPQM","LINK - YT")</f>
        <v>LINK - YT</v>
      </c>
      <c r="F387" s="77"/>
      <c r="G387" s="78"/>
      <c r="H387" s="80" t="s">
        <v>1373</v>
      </c>
      <c r="I387" s="80" t="s">
        <v>1374</v>
      </c>
      <c r="J387" s="80" t="s">
        <v>613</v>
      </c>
      <c r="K387" s="222" t="s">
        <v>1365</v>
      </c>
      <c r="L387" s="79"/>
      <c r="M387" s="30"/>
      <c r="N387" s="30"/>
      <c r="O387" s="29"/>
      <c r="P387" s="81"/>
      <c r="Q387" s="82"/>
    </row>
    <row r="388">
      <c r="A388" s="169">
        <v>40346.0</v>
      </c>
      <c r="B388" s="172">
        <v>40134.0</v>
      </c>
      <c r="C388" s="35" t="s">
        <v>185</v>
      </c>
      <c r="D388" s="35" t="s">
        <v>469</v>
      </c>
      <c r="E388" s="86" t="str">
        <f>HYPERLINK("https://youtu.be/6AgR_r7EdPc","LINK - YT")</f>
        <v>LINK - YT</v>
      </c>
      <c r="F388" s="77"/>
      <c r="G388" s="78"/>
      <c r="H388" s="80" t="s">
        <v>1375</v>
      </c>
      <c r="I388" s="80" t="s">
        <v>1376</v>
      </c>
      <c r="J388" s="80" t="s">
        <v>613</v>
      </c>
      <c r="K388" s="222" t="s">
        <v>1365</v>
      </c>
      <c r="L388" s="79"/>
      <c r="M388" s="30"/>
      <c r="N388" s="30"/>
      <c r="O388" s="29"/>
      <c r="P388" s="81"/>
      <c r="Q388" s="82"/>
    </row>
    <row r="389">
      <c r="A389" s="169"/>
      <c r="B389" s="223">
        <v>40063.0</v>
      </c>
      <c r="C389" s="35" t="s">
        <v>185</v>
      </c>
      <c r="D389" s="35" t="s">
        <v>469</v>
      </c>
      <c r="E389" s="86" t="str">
        <f>HYPERLINK("http://talksandlectures.aec.at/?id=126","LINK - YT")</f>
        <v>LINK - YT</v>
      </c>
      <c r="F389" s="77"/>
      <c r="G389" s="78"/>
      <c r="H389" s="80" t="s">
        <v>1377</v>
      </c>
      <c r="I389" s="80"/>
      <c r="J389" s="80" t="s">
        <v>613</v>
      </c>
      <c r="K389" s="80" t="s">
        <v>1378</v>
      </c>
      <c r="L389" s="79"/>
      <c r="M389" s="30"/>
      <c r="N389" s="30"/>
      <c r="O389" s="29"/>
      <c r="P389" s="81"/>
      <c r="Q389" s="82"/>
    </row>
    <row r="390">
      <c r="A390" s="169">
        <v>42739.0</v>
      </c>
      <c r="B390" s="223">
        <v>40057.0</v>
      </c>
      <c r="C390" s="35" t="s">
        <v>185</v>
      </c>
      <c r="D390" s="35" t="s">
        <v>469</v>
      </c>
      <c r="E390" s="86" t="str">
        <f>HYPERLINK("https://youtu.be/tWxOb1cAYjI","LINK - YT")</f>
        <v>LINK - YT</v>
      </c>
      <c r="F390" s="77"/>
      <c r="G390" s="78"/>
      <c r="H390" s="80" t="s">
        <v>1379</v>
      </c>
      <c r="I390" s="80" t="s">
        <v>1380</v>
      </c>
      <c r="J390" s="80" t="s">
        <v>613</v>
      </c>
      <c r="K390" s="80" t="s">
        <v>1378</v>
      </c>
      <c r="L390" s="79"/>
      <c r="M390" s="30"/>
      <c r="N390" s="30"/>
      <c r="O390" s="29"/>
      <c r="P390" s="81"/>
      <c r="Q390" s="82"/>
    </row>
    <row r="391">
      <c r="A391" s="169">
        <v>40340.0</v>
      </c>
      <c r="B391" s="224" t="s">
        <v>1381</v>
      </c>
      <c r="C391" s="35" t="s">
        <v>185</v>
      </c>
      <c r="D391" s="35" t="s">
        <v>469</v>
      </c>
      <c r="E391" s="86" t="str">
        <f>HYPERLINK("https://www.youtube.com/playlist?list=PLFBF13DABA1AF0C2B","LINK - YT")</f>
        <v>LINK - YT</v>
      </c>
      <c r="F391" s="77"/>
      <c r="G391" s="132"/>
      <c r="H391" s="225" t="s">
        <v>1382</v>
      </c>
      <c r="I391" s="80"/>
      <c r="J391" s="80"/>
      <c r="K391" s="80" t="s">
        <v>1383</v>
      </c>
      <c r="L391" s="80" t="s">
        <v>1384</v>
      </c>
      <c r="M391" s="30"/>
      <c r="N391" s="30"/>
      <c r="O391" s="29"/>
      <c r="P391" s="81"/>
      <c r="Q391" s="82"/>
    </row>
    <row r="392">
      <c r="A392" s="169">
        <v>40633.0</v>
      </c>
      <c r="B392" s="224">
        <v>2009.0</v>
      </c>
      <c r="C392" s="35" t="s">
        <v>185</v>
      </c>
      <c r="D392" s="35" t="s">
        <v>469</v>
      </c>
      <c r="E392" s="86" t="str">
        <f>HYPERLINK("https://youtu.be/BUsojbAaug0","LINK - YT")</f>
        <v>LINK - YT</v>
      </c>
      <c r="F392" s="77"/>
      <c r="G392" s="78"/>
      <c r="H392" s="80" t="s">
        <v>1385</v>
      </c>
      <c r="I392" s="80" t="s">
        <v>1386</v>
      </c>
      <c r="J392" s="80" t="s">
        <v>1387</v>
      </c>
      <c r="K392" s="80" t="s">
        <v>1388</v>
      </c>
      <c r="L392" s="79"/>
      <c r="M392" s="30"/>
      <c r="N392" s="30"/>
      <c r="O392" s="29"/>
      <c r="P392" s="81"/>
      <c r="Q392" s="82"/>
    </row>
    <row r="393">
      <c r="A393" s="169">
        <v>40524.0</v>
      </c>
      <c r="B393" s="172">
        <v>39809.0</v>
      </c>
      <c r="C393" s="35" t="s">
        <v>185</v>
      </c>
      <c r="D393" s="35" t="s">
        <v>469</v>
      </c>
      <c r="E393" s="86" t="str">
        <f>HYPERLINK("https://youtu.be/-w6vtdGI5EI","LINK - YT")</f>
        <v>LINK - YT</v>
      </c>
      <c r="F393" s="131">
        <v>2.441666666666667</v>
      </c>
      <c r="G393" s="78"/>
      <c r="H393" s="80" t="s">
        <v>1389</v>
      </c>
      <c r="I393" s="80" t="s">
        <v>1390</v>
      </c>
      <c r="J393" s="80" t="s">
        <v>1387</v>
      </c>
      <c r="K393" s="80" t="s">
        <v>1391</v>
      </c>
      <c r="L393" s="79"/>
      <c r="M393" s="30"/>
      <c r="N393" s="30"/>
      <c r="O393" s="29"/>
      <c r="P393" s="81"/>
      <c r="Q393" s="82"/>
    </row>
    <row r="394">
      <c r="A394" s="76"/>
      <c r="B394" s="76"/>
      <c r="C394" s="29"/>
      <c r="D394" s="29"/>
      <c r="E394" s="30"/>
      <c r="F394" s="77"/>
      <c r="G394" s="78"/>
      <c r="H394" s="79"/>
      <c r="I394" s="79"/>
      <c r="J394" s="79"/>
      <c r="K394" s="79"/>
      <c r="L394" s="79"/>
      <c r="M394" s="30"/>
      <c r="N394" s="30"/>
      <c r="O394" s="29"/>
      <c r="P394" s="81"/>
      <c r="Q394" s="82"/>
    </row>
  </sheetData>
  <mergeCells count="3">
    <mergeCell ref="I1:N1"/>
    <mergeCell ref="J180:L180"/>
    <mergeCell ref="H187:L187"/>
  </mergeCells>
  <hyperlinks>
    <hyperlink r:id="rId1" ref="H1"/>
  </hyperlinks>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5.0" topLeftCell="A6" activePane="bottomLeft" state="frozen"/>
      <selection activeCell="B7" sqref="B7" pane="bottomLeft"/>
    </sheetView>
  </sheetViews>
  <sheetFormatPr customHeight="1" defaultColWidth="14.43" defaultRowHeight="15.75"/>
  <cols>
    <col customWidth="1" min="1" max="1" width="11.0"/>
    <col customWidth="1" min="2" max="2" width="11.86"/>
    <col customWidth="1" min="3" max="3" width="1.43"/>
    <col customWidth="1" min="4" max="4" width="11.86"/>
    <col customWidth="1" min="5" max="5" width="1.43"/>
    <col customWidth="1" min="6" max="6" width="13.29"/>
    <col customWidth="1" min="7" max="7" width="1.43"/>
    <col customWidth="1" min="8" max="8" width="73.29"/>
    <col customWidth="1" min="9" max="9" width="2.86"/>
    <col customWidth="1" min="10" max="10" width="46.86"/>
  </cols>
  <sheetData>
    <row r="1">
      <c r="A1" s="2"/>
      <c r="B1" s="7" t="s">
        <v>0</v>
      </c>
      <c r="C1" s="8"/>
      <c r="D1" s="7"/>
      <c r="E1" s="9"/>
      <c r="F1" s="10"/>
      <c r="G1" s="11"/>
      <c r="H1" s="12" t="s">
        <v>2</v>
      </c>
      <c r="I1" s="13"/>
      <c r="J1" s="13"/>
    </row>
    <row r="2">
      <c r="A2" s="14"/>
      <c r="B2" s="15" t="s">
        <v>3</v>
      </c>
      <c r="C2" s="8"/>
      <c r="D2" s="15"/>
      <c r="E2" s="9"/>
      <c r="F2" s="10"/>
      <c r="G2" s="11"/>
      <c r="H2" s="16"/>
      <c r="I2" s="13"/>
      <c r="J2" s="13"/>
    </row>
    <row r="3">
      <c r="A3" s="2"/>
      <c r="B3" s="2"/>
      <c r="C3" s="4"/>
      <c r="D3" s="2"/>
      <c r="E3" s="5"/>
      <c r="F3" s="10"/>
      <c r="H3" s="17" t="s">
        <v>4</v>
      </c>
      <c r="I3" s="18"/>
      <c r="J3" s="19" t="str">
        <f>HYPERLINK("https://greekemmy.com/2017/01/24/assange-quotes-by-quotesofassange-curated-by-ageis/","LIST ")</f>
        <v>LIST </v>
      </c>
    </row>
    <row r="4">
      <c r="A4" s="20"/>
      <c r="B4" s="20"/>
      <c r="C4" s="4"/>
      <c r="D4" s="20"/>
      <c r="E4" s="5"/>
      <c r="F4" s="10"/>
      <c r="H4" s="21"/>
      <c r="I4" s="13"/>
      <c r="J4" s="13"/>
    </row>
    <row r="5">
      <c r="A5" s="22" t="s">
        <v>5</v>
      </c>
      <c r="B5" s="22" t="s">
        <v>6</v>
      </c>
      <c r="C5" s="23"/>
      <c r="D5" s="22" t="s">
        <v>7</v>
      </c>
      <c r="E5" s="24"/>
      <c r="F5" s="24" t="s">
        <v>8</v>
      </c>
      <c r="G5" s="25"/>
      <c r="H5" s="26" t="s">
        <v>9</v>
      </c>
      <c r="I5" s="27"/>
      <c r="J5" s="26" t="s">
        <v>10</v>
      </c>
    </row>
    <row r="6">
      <c r="A6" s="28"/>
      <c r="B6" s="28"/>
      <c r="C6" s="29"/>
      <c r="D6" s="28"/>
      <c r="E6" s="30"/>
      <c r="F6" s="10"/>
      <c r="H6" s="21"/>
      <c r="I6" s="31"/>
      <c r="J6" s="13"/>
    </row>
    <row r="7">
      <c r="A7" s="32"/>
      <c r="B7" s="32"/>
      <c r="C7" s="33"/>
      <c r="D7" s="32"/>
      <c r="E7" s="33"/>
      <c r="F7" s="10"/>
      <c r="H7" s="21"/>
      <c r="I7" s="31"/>
      <c r="J7" s="13"/>
    </row>
    <row r="8">
      <c r="A8" s="34"/>
      <c r="B8" s="34"/>
      <c r="C8" s="35"/>
      <c r="D8" s="34"/>
      <c r="E8" s="36"/>
      <c r="F8" s="10"/>
      <c r="H8" s="21"/>
      <c r="I8" s="31"/>
      <c r="J8" s="13"/>
    </row>
    <row r="9">
      <c r="A9" s="34"/>
      <c r="B9" s="34"/>
      <c r="C9" s="35"/>
      <c r="D9" s="34"/>
      <c r="E9" s="36"/>
      <c r="F9" s="10"/>
      <c r="H9" s="21"/>
      <c r="I9" s="31"/>
      <c r="J9" s="13"/>
    </row>
    <row r="10">
      <c r="A10" s="34">
        <v>41990.0</v>
      </c>
      <c r="B10" s="34"/>
      <c r="C10" s="35"/>
      <c r="D10" s="34"/>
      <c r="E10" s="36"/>
      <c r="F10" s="37" t="str">
        <f>HYPERLINK("https://wikileaks.org/Assange-statement-on-the.html?barrett-brown","Statement")</f>
        <v>Statement</v>
      </c>
      <c r="H10" s="38" t="s">
        <v>11</v>
      </c>
      <c r="I10" s="39"/>
      <c r="J10" s="40" t="s">
        <v>12</v>
      </c>
    </row>
    <row r="11">
      <c r="A11" s="41"/>
      <c r="B11" s="42"/>
      <c r="C11" s="35"/>
      <c r="D11" s="42"/>
      <c r="E11" s="36"/>
      <c r="F11" s="10"/>
      <c r="H11" s="21"/>
      <c r="I11" s="31"/>
      <c r="J11" s="13"/>
    </row>
    <row r="12">
      <c r="A12" s="34">
        <v>41977.0</v>
      </c>
      <c r="B12" s="34"/>
      <c r="C12" s="35"/>
      <c r="D12" s="34"/>
      <c r="E12" s="36"/>
      <c r="F12" s="37" t="str">
        <f t="shared" ref="F12:F22" si="1">HYPERLINK("https://www.nytimes.com/2014/12/04/opinion/julian-assange-on-living-in-a-surveillance-society.html","Article")</f>
        <v>Article</v>
      </c>
      <c r="H12" s="43" t="s">
        <v>13</v>
      </c>
      <c r="I12" s="31"/>
      <c r="J12" s="44" t="s">
        <v>14</v>
      </c>
    </row>
    <row r="13">
      <c r="A13" s="34">
        <v>41977.0</v>
      </c>
      <c r="B13" s="34"/>
      <c r="C13" s="35"/>
      <c r="D13" s="34"/>
      <c r="E13" s="36"/>
      <c r="F13" s="37" t="str">
        <f t="shared" si="1"/>
        <v>Article</v>
      </c>
      <c r="H13" s="45" t="s">
        <v>15</v>
      </c>
      <c r="I13" s="31"/>
      <c r="J13" s="44" t="s">
        <v>14</v>
      </c>
    </row>
    <row r="14">
      <c r="A14" s="34">
        <v>41977.0</v>
      </c>
      <c r="B14" s="34"/>
      <c r="C14" s="35"/>
      <c r="D14" s="34"/>
      <c r="E14" s="36"/>
      <c r="F14" s="37" t="str">
        <f t="shared" si="1"/>
        <v>Article</v>
      </c>
      <c r="H14" s="46" t="s">
        <v>16</v>
      </c>
      <c r="I14" s="47"/>
      <c r="J14" s="44" t="s">
        <v>14</v>
      </c>
    </row>
    <row r="15">
      <c r="A15" s="34">
        <v>41977.0</v>
      </c>
      <c r="B15" s="34"/>
      <c r="C15" s="35"/>
      <c r="D15" s="34"/>
      <c r="E15" s="36"/>
      <c r="F15" s="37" t="str">
        <f t="shared" si="1"/>
        <v>Article</v>
      </c>
      <c r="H15" s="48" t="s">
        <v>17</v>
      </c>
      <c r="I15" s="47"/>
      <c r="J15" s="44" t="s">
        <v>14</v>
      </c>
    </row>
    <row r="16">
      <c r="A16" s="34">
        <v>41977.0</v>
      </c>
      <c r="B16" s="34"/>
      <c r="C16" s="35"/>
      <c r="D16" s="34"/>
      <c r="E16" s="36"/>
      <c r="F16" s="37" t="str">
        <f t="shared" si="1"/>
        <v>Article</v>
      </c>
      <c r="H16" s="46" t="s">
        <v>18</v>
      </c>
      <c r="I16" s="47"/>
      <c r="J16" s="44" t="s">
        <v>14</v>
      </c>
    </row>
    <row r="17">
      <c r="A17" s="34">
        <v>41977.0</v>
      </c>
      <c r="B17" s="34"/>
      <c r="C17" s="35"/>
      <c r="D17" s="34"/>
      <c r="E17" s="36"/>
      <c r="F17" s="37" t="str">
        <f t="shared" si="1"/>
        <v>Article</v>
      </c>
      <c r="H17" s="46" t="s">
        <v>19</v>
      </c>
      <c r="I17" s="47"/>
      <c r="J17" s="44" t="s">
        <v>14</v>
      </c>
    </row>
    <row r="18">
      <c r="A18" s="34">
        <v>41977.0</v>
      </c>
      <c r="B18" s="34"/>
      <c r="C18" s="35"/>
      <c r="D18" s="34"/>
      <c r="E18" s="36"/>
      <c r="F18" s="37" t="str">
        <f t="shared" si="1"/>
        <v>Article</v>
      </c>
      <c r="H18" s="46" t="s">
        <v>20</v>
      </c>
      <c r="I18" s="47"/>
      <c r="J18" s="44" t="s">
        <v>14</v>
      </c>
    </row>
    <row r="19">
      <c r="A19" s="34">
        <v>41977.0</v>
      </c>
      <c r="B19" s="34"/>
      <c r="C19" s="35"/>
      <c r="D19" s="34"/>
      <c r="E19" s="36"/>
      <c r="F19" s="37" t="str">
        <f t="shared" si="1"/>
        <v>Article</v>
      </c>
      <c r="H19" s="49" t="s">
        <v>21</v>
      </c>
      <c r="I19" s="31"/>
      <c r="J19" s="44" t="s">
        <v>14</v>
      </c>
    </row>
    <row r="20">
      <c r="A20" s="34">
        <v>41977.0</v>
      </c>
      <c r="B20" s="34"/>
      <c r="C20" s="35"/>
      <c r="D20" s="34"/>
      <c r="E20" s="36"/>
      <c r="F20" s="37" t="str">
        <f t="shared" si="1"/>
        <v>Article</v>
      </c>
      <c r="H20" s="50" t="s">
        <v>22</v>
      </c>
      <c r="I20" s="31"/>
      <c r="J20" s="44" t="s">
        <v>14</v>
      </c>
    </row>
    <row r="21">
      <c r="A21" s="34">
        <v>41977.0</v>
      </c>
      <c r="B21" s="34"/>
      <c r="C21" s="35"/>
      <c r="D21" s="34"/>
      <c r="E21" s="36"/>
      <c r="F21" s="37" t="str">
        <f t="shared" si="1"/>
        <v>Article</v>
      </c>
      <c r="H21" s="49" t="s">
        <v>23</v>
      </c>
      <c r="I21" s="31"/>
      <c r="J21" s="44" t="s">
        <v>14</v>
      </c>
    </row>
    <row r="22">
      <c r="A22" s="34">
        <v>41977.0</v>
      </c>
      <c r="B22" s="34"/>
      <c r="C22" s="35"/>
      <c r="D22" s="34"/>
      <c r="E22" s="36"/>
      <c r="F22" s="37" t="str">
        <f t="shared" si="1"/>
        <v>Article</v>
      </c>
      <c r="H22" s="51" t="s">
        <v>24</v>
      </c>
      <c r="I22" s="31"/>
      <c r="J22" s="44" t="s">
        <v>14</v>
      </c>
    </row>
    <row r="23">
      <c r="A23" s="34"/>
      <c r="B23" s="34"/>
      <c r="C23" s="35"/>
      <c r="D23" s="34"/>
      <c r="E23" s="36"/>
      <c r="F23" s="10"/>
      <c r="H23" s="50"/>
      <c r="I23" s="31"/>
      <c r="J23" s="13"/>
    </row>
    <row r="24">
      <c r="A24" s="34"/>
      <c r="B24" s="34"/>
      <c r="C24" s="35"/>
      <c r="D24" s="34"/>
      <c r="E24" s="36"/>
      <c r="F24" s="10"/>
      <c r="H24" s="52"/>
      <c r="I24" s="31"/>
      <c r="J24" s="13"/>
    </row>
    <row r="25">
      <c r="A25" s="34"/>
      <c r="B25" s="34"/>
      <c r="C25" s="35"/>
      <c r="D25" s="34"/>
      <c r="E25" s="36"/>
      <c r="F25" s="10"/>
      <c r="H25" s="52" t="s">
        <v>25</v>
      </c>
      <c r="I25" s="31"/>
      <c r="J25" s="13"/>
    </row>
    <row r="26">
      <c r="A26" s="34"/>
      <c r="B26" s="34"/>
      <c r="C26" s="35"/>
      <c r="D26" s="34"/>
      <c r="E26" s="36"/>
      <c r="F26" s="10"/>
      <c r="H26" s="52" t="s">
        <v>26</v>
      </c>
      <c r="I26" s="31"/>
      <c r="J26" s="13"/>
    </row>
    <row r="27">
      <c r="A27" s="34"/>
      <c r="B27" s="34"/>
      <c r="C27" s="35"/>
      <c r="D27" s="34"/>
      <c r="E27" s="36"/>
      <c r="F27" s="10"/>
      <c r="H27" s="52" t="s">
        <v>27</v>
      </c>
      <c r="I27" s="31"/>
      <c r="J27" s="13"/>
    </row>
    <row r="28">
      <c r="A28" s="34"/>
      <c r="B28" s="34"/>
      <c r="C28" s="35"/>
      <c r="D28" s="34"/>
      <c r="E28" s="36"/>
      <c r="F28" s="10"/>
      <c r="H28" s="52" t="s">
        <v>28</v>
      </c>
      <c r="I28" s="31"/>
      <c r="J28" s="13"/>
    </row>
    <row r="29">
      <c r="A29" s="34"/>
      <c r="B29" s="34"/>
      <c r="C29" s="35"/>
      <c r="D29" s="34"/>
      <c r="E29" s="36"/>
      <c r="F29" s="10"/>
      <c r="H29" s="52" t="s">
        <v>29</v>
      </c>
      <c r="I29" s="31"/>
      <c r="J29" s="13"/>
    </row>
    <row r="30">
      <c r="A30" s="34"/>
      <c r="B30" s="34"/>
      <c r="C30" s="35"/>
      <c r="D30" s="34"/>
      <c r="E30" s="36"/>
      <c r="F30" s="10"/>
      <c r="H30" s="52" t="s">
        <v>30</v>
      </c>
      <c r="I30" s="31"/>
      <c r="J30" s="13"/>
    </row>
    <row r="31">
      <c r="A31" s="34"/>
      <c r="B31" s="34"/>
      <c r="C31" s="35"/>
      <c r="D31" s="34"/>
      <c r="E31" s="36"/>
      <c r="F31" s="10"/>
      <c r="H31" s="52" t="s">
        <v>31</v>
      </c>
      <c r="I31" s="31"/>
      <c r="J31" s="13"/>
    </row>
    <row r="32">
      <c r="A32" s="34"/>
      <c r="B32" s="34"/>
      <c r="C32" s="35"/>
      <c r="D32" s="34"/>
      <c r="E32" s="36"/>
      <c r="F32" s="10"/>
      <c r="H32" s="52" t="s">
        <v>32</v>
      </c>
      <c r="I32" s="31"/>
      <c r="J32" s="13"/>
    </row>
    <row r="33">
      <c r="A33" s="34"/>
      <c r="B33" s="34"/>
      <c r="C33" s="35"/>
      <c r="D33" s="34"/>
      <c r="E33" s="36"/>
      <c r="F33" s="10"/>
      <c r="H33" s="52" t="s">
        <v>33</v>
      </c>
      <c r="I33" s="31"/>
      <c r="J33" s="13"/>
    </row>
    <row r="34">
      <c r="A34" s="34"/>
      <c r="B34" s="34"/>
      <c r="C34" s="35"/>
      <c r="D34" s="34"/>
      <c r="E34" s="36"/>
      <c r="F34" s="10"/>
      <c r="H34" s="52" t="s">
        <v>34</v>
      </c>
      <c r="I34" s="31"/>
      <c r="J34" s="13"/>
    </row>
    <row r="35">
      <c r="A35" s="34"/>
      <c r="B35" s="34"/>
      <c r="C35" s="35"/>
      <c r="D35" s="34"/>
      <c r="E35" s="53"/>
      <c r="F35" s="10"/>
      <c r="H35" s="52" t="s">
        <v>35</v>
      </c>
      <c r="I35" s="31"/>
      <c r="J35" s="13"/>
    </row>
    <row r="36">
      <c r="A36" s="34"/>
      <c r="B36" s="34"/>
      <c r="C36" s="35"/>
      <c r="D36" s="34"/>
      <c r="E36" s="53"/>
      <c r="F36" s="10"/>
      <c r="H36" s="52" t="s">
        <v>36</v>
      </c>
      <c r="I36" s="31"/>
      <c r="J36" s="13"/>
    </row>
    <row r="37">
      <c r="A37" s="34"/>
      <c r="B37" s="34"/>
      <c r="C37" s="35"/>
      <c r="D37" s="34"/>
      <c r="E37" s="36"/>
      <c r="F37" s="10"/>
      <c r="H37" s="52" t="s">
        <v>37</v>
      </c>
      <c r="I37" s="31"/>
      <c r="J37" s="13"/>
    </row>
    <row r="38">
      <c r="A38" s="34"/>
      <c r="B38" s="34"/>
      <c r="C38" s="35"/>
      <c r="D38" s="34"/>
      <c r="E38" s="53"/>
      <c r="F38" s="10"/>
      <c r="H38" s="52" t="s">
        <v>38</v>
      </c>
      <c r="I38" s="31"/>
      <c r="J38" s="13"/>
    </row>
    <row r="39">
      <c r="A39" s="34"/>
      <c r="B39" s="34"/>
      <c r="C39" s="35"/>
      <c r="D39" s="34"/>
      <c r="E39" s="53"/>
      <c r="F39" s="10"/>
      <c r="H39" s="55" t="s">
        <v>39</v>
      </c>
      <c r="I39" s="31"/>
      <c r="J39" s="13"/>
    </row>
    <row r="40">
      <c r="A40" s="34"/>
      <c r="B40" s="34"/>
      <c r="C40" s="35"/>
      <c r="D40" s="34"/>
      <c r="E40" s="53"/>
      <c r="F40" s="10"/>
      <c r="H40" s="52" t="s">
        <v>41</v>
      </c>
      <c r="I40" s="31"/>
      <c r="J40" s="13"/>
    </row>
    <row r="41">
      <c r="A41" s="34"/>
      <c r="B41" s="34"/>
      <c r="C41" s="35"/>
      <c r="D41" s="34"/>
      <c r="E41" s="53"/>
      <c r="F41" s="10"/>
      <c r="H41" s="52" t="s">
        <v>42</v>
      </c>
      <c r="I41" s="31"/>
      <c r="J41" s="13"/>
    </row>
    <row r="42">
      <c r="A42" s="34"/>
      <c r="B42" s="34"/>
      <c r="C42" s="35"/>
      <c r="D42" s="34"/>
      <c r="E42" s="53"/>
      <c r="F42" s="10"/>
      <c r="H42" s="52" t="s">
        <v>43</v>
      </c>
      <c r="I42" s="31"/>
      <c r="J42" s="13"/>
    </row>
    <row r="43">
      <c r="A43" s="34"/>
      <c r="B43" s="34"/>
      <c r="C43" s="35"/>
      <c r="D43" s="34"/>
      <c r="E43" s="53"/>
      <c r="F43" s="10"/>
      <c r="H43" s="52" t="s">
        <v>44</v>
      </c>
      <c r="I43" s="31"/>
      <c r="J43" s="13"/>
    </row>
    <row r="44">
      <c r="A44" s="34"/>
      <c r="B44" s="34"/>
      <c r="C44" s="35"/>
      <c r="D44" s="34"/>
      <c r="E44" s="53"/>
      <c r="F44" s="10"/>
      <c r="H44" s="52" t="s">
        <v>45</v>
      </c>
      <c r="I44" s="31"/>
      <c r="J44" s="13"/>
    </row>
    <row r="45">
      <c r="A45" s="34"/>
      <c r="B45" s="34"/>
      <c r="C45" s="35"/>
      <c r="D45" s="34"/>
      <c r="E45" s="53"/>
      <c r="F45" s="10"/>
      <c r="H45" s="52" t="s">
        <v>46</v>
      </c>
      <c r="I45" s="31"/>
      <c r="J45" s="13"/>
    </row>
    <row r="46">
      <c r="A46" s="34"/>
      <c r="B46" s="34"/>
      <c r="C46" s="35"/>
      <c r="D46" s="34"/>
      <c r="E46" s="53"/>
      <c r="F46" s="10"/>
      <c r="H46" s="52" t="s">
        <v>47</v>
      </c>
      <c r="I46" s="31"/>
      <c r="J46" s="13"/>
    </row>
    <row r="47">
      <c r="A47" s="34"/>
      <c r="B47" s="34"/>
      <c r="C47" s="35"/>
      <c r="D47" s="34"/>
      <c r="E47" s="36"/>
      <c r="F47" s="10"/>
      <c r="H47" s="52" t="s">
        <v>48</v>
      </c>
      <c r="I47" s="31"/>
      <c r="J47" s="13"/>
    </row>
    <row r="48">
      <c r="A48" s="34"/>
      <c r="B48" s="34"/>
      <c r="C48" s="35"/>
      <c r="D48" s="34"/>
      <c r="E48" s="36"/>
      <c r="F48" s="10"/>
      <c r="H48" s="52" t="s">
        <v>49</v>
      </c>
      <c r="I48" s="31"/>
      <c r="J48" s="13"/>
    </row>
    <row r="49">
      <c r="A49" s="34"/>
      <c r="B49" s="34"/>
      <c r="C49" s="35"/>
      <c r="D49" s="34"/>
      <c r="E49" s="36"/>
      <c r="F49" s="10"/>
      <c r="H49" s="52" t="s">
        <v>50</v>
      </c>
      <c r="I49" s="31"/>
      <c r="J49" s="13"/>
    </row>
    <row r="50">
      <c r="A50" s="34"/>
      <c r="B50" s="34"/>
      <c r="C50" s="35"/>
      <c r="D50" s="34"/>
      <c r="E50" s="36"/>
      <c r="F50" s="10"/>
      <c r="H50" s="52" t="s">
        <v>51</v>
      </c>
      <c r="I50" s="31"/>
      <c r="J50" s="13"/>
    </row>
    <row r="51">
      <c r="A51" s="34"/>
      <c r="B51" s="34"/>
      <c r="C51" s="35"/>
      <c r="D51" s="34"/>
      <c r="E51" s="36"/>
      <c r="F51" s="10"/>
      <c r="H51" s="52" t="s">
        <v>52</v>
      </c>
      <c r="I51" s="31"/>
      <c r="J51" s="13"/>
    </row>
    <row r="52">
      <c r="A52" s="34"/>
      <c r="B52" s="34"/>
      <c r="C52" s="35"/>
      <c r="D52" s="34"/>
      <c r="E52" s="53"/>
      <c r="F52" s="10"/>
      <c r="H52" s="52" t="s">
        <v>53</v>
      </c>
      <c r="I52" s="31"/>
      <c r="J52" s="13"/>
    </row>
    <row r="53">
      <c r="A53" s="34"/>
      <c r="B53" s="34"/>
      <c r="C53" s="35"/>
      <c r="D53" s="34"/>
      <c r="E53" s="36"/>
      <c r="F53" s="10"/>
      <c r="H53" s="52" t="s">
        <v>54</v>
      </c>
      <c r="I53" s="31"/>
      <c r="J53" s="13"/>
    </row>
    <row r="54">
      <c r="A54" s="34"/>
      <c r="B54" s="34"/>
      <c r="C54" s="35"/>
      <c r="D54" s="34"/>
      <c r="E54" s="36"/>
      <c r="F54" s="10"/>
      <c r="H54" s="52" t="s">
        <v>55</v>
      </c>
      <c r="I54" s="31"/>
      <c r="J54" s="13"/>
    </row>
    <row r="55">
      <c r="A55" s="34"/>
      <c r="B55" s="34"/>
      <c r="C55" s="35"/>
      <c r="D55" s="34"/>
      <c r="E55" s="36"/>
      <c r="F55" s="10"/>
      <c r="H55" s="52" t="s">
        <v>56</v>
      </c>
      <c r="I55" s="31"/>
      <c r="J55" s="13"/>
    </row>
    <row r="56">
      <c r="A56" s="34"/>
      <c r="B56" s="34"/>
      <c r="C56" s="35"/>
      <c r="D56" s="34"/>
      <c r="E56" s="36"/>
      <c r="F56" s="10"/>
      <c r="H56" s="52" t="s">
        <v>58</v>
      </c>
      <c r="I56" s="31"/>
      <c r="J56" s="13"/>
    </row>
    <row r="57">
      <c r="A57" s="34"/>
      <c r="B57" s="34"/>
      <c r="C57" s="35"/>
      <c r="D57" s="34"/>
      <c r="E57" s="36"/>
      <c r="F57" s="10"/>
      <c r="H57" s="52" t="s">
        <v>59</v>
      </c>
      <c r="I57" s="31"/>
      <c r="J57" s="13"/>
    </row>
    <row r="58">
      <c r="A58" s="34"/>
      <c r="B58" s="34"/>
      <c r="C58" s="35"/>
      <c r="D58" s="34"/>
      <c r="E58" s="36"/>
      <c r="F58" s="10"/>
      <c r="H58" s="52" t="s">
        <v>60</v>
      </c>
      <c r="I58" s="31"/>
      <c r="J58" s="13"/>
    </row>
    <row r="59">
      <c r="A59" s="34"/>
      <c r="B59" s="34"/>
      <c r="C59" s="35"/>
      <c r="D59" s="34"/>
      <c r="E59" s="36"/>
      <c r="F59" s="10"/>
      <c r="H59" s="52" t="s">
        <v>61</v>
      </c>
      <c r="I59" s="31"/>
      <c r="J59" s="13"/>
    </row>
    <row r="60">
      <c r="A60" s="34"/>
      <c r="B60" s="34"/>
      <c r="C60" s="35"/>
      <c r="D60" s="34"/>
      <c r="E60" s="36"/>
      <c r="F60" s="10"/>
      <c r="H60" s="52" t="s">
        <v>62</v>
      </c>
      <c r="I60" s="31"/>
      <c r="J60" s="13"/>
    </row>
    <row r="61">
      <c r="A61" s="34"/>
      <c r="B61" s="34"/>
      <c r="C61" s="35"/>
      <c r="D61" s="34"/>
      <c r="E61" s="36"/>
      <c r="F61" s="10"/>
      <c r="H61" s="52" t="s">
        <v>63</v>
      </c>
      <c r="I61" s="31"/>
      <c r="J61" s="13"/>
    </row>
    <row r="62">
      <c r="A62" s="34"/>
      <c r="B62" s="34"/>
      <c r="C62" s="35"/>
      <c r="D62" s="34"/>
      <c r="E62" s="36"/>
      <c r="F62" s="10"/>
      <c r="H62" s="52" t="s">
        <v>64</v>
      </c>
      <c r="I62" s="31"/>
      <c r="J62" s="13"/>
    </row>
    <row r="63">
      <c r="A63" s="34"/>
      <c r="B63" s="34"/>
      <c r="C63" s="35"/>
      <c r="D63" s="34"/>
      <c r="E63" s="36"/>
      <c r="F63" s="10"/>
      <c r="H63" s="52" t="s">
        <v>65</v>
      </c>
      <c r="I63" s="31"/>
      <c r="J63" s="13"/>
    </row>
    <row r="64">
      <c r="A64" s="34"/>
      <c r="B64" s="34"/>
      <c r="C64" s="35"/>
      <c r="D64" s="34"/>
      <c r="E64" s="36"/>
      <c r="F64" s="10"/>
      <c r="H64" s="52" t="s">
        <v>66</v>
      </c>
      <c r="I64" s="31"/>
      <c r="J64" s="13"/>
    </row>
    <row r="65">
      <c r="A65" s="34"/>
      <c r="B65" s="34"/>
      <c r="C65" s="35"/>
      <c r="D65" s="34"/>
      <c r="E65" s="36"/>
      <c r="F65" s="10"/>
      <c r="H65" s="52" t="s">
        <v>67</v>
      </c>
      <c r="I65" s="31"/>
      <c r="J65" s="13"/>
    </row>
    <row r="66">
      <c r="A66" s="34"/>
      <c r="B66" s="34"/>
      <c r="C66" s="35"/>
      <c r="D66" s="34"/>
      <c r="E66" s="36"/>
      <c r="F66" s="10"/>
      <c r="H66" s="52" t="s">
        <v>68</v>
      </c>
      <c r="I66" s="31"/>
      <c r="J66" s="13"/>
    </row>
    <row r="67">
      <c r="A67" s="34"/>
      <c r="B67" s="34"/>
      <c r="C67" s="35"/>
      <c r="D67" s="34"/>
      <c r="E67" s="36"/>
      <c r="F67" s="10"/>
      <c r="H67" s="52" t="s">
        <v>69</v>
      </c>
      <c r="I67" s="31"/>
      <c r="J67" s="13"/>
    </row>
    <row r="68">
      <c r="A68" s="34"/>
      <c r="B68" s="34"/>
      <c r="C68" s="35"/>
      <c r="D68" s="34"/>
      <c r="E68" s="36"/>
      <c r="F68" s="10"/>
      <c r="H68" s="52" t="s">
        <v>70</v>
      </c>
      <c r="I68" s="31"/>
      <c r="J68" s="13"/>
    </row>
    <row r="69">
      <c r="A69" s="34"/>
      <c r="B69" s="34"/>
      <c r="C69" s="35"/>
      <c r="D69" s="34"/>
      <c r="E69" s="36"/>
      <c r="F69" s="10"/>
      <c r="H69" s="52" t="s">
        <v>71</v>
      </c>
      <c r="I69" s="31"/>
      <c r="J69" s="13"/>
    </row>
    <row r="70">
      <c r="A70" s="34"/>
      <c r="B70" s="34"/>
      <c r="C70" s="35"/>
      <c r="D70" s="34"/>
      <c r="E70" s="36"/>
      <c r="F70" s="10"/>
      <c r="H70" s="52" t="s">
        <v>72</v>
      </c>
      <c r="I70" s="31"/>
      <c r="J70" s="13"/>
    </row>
    <row r="71">
      <c r="A71" s="34"/>
      <c r="B71" s="34"/>
      <c r="C71" s="35"/>
      <c r="D71" s="34"/>
      <c r="E71" s="36"/>
      <c r="F71" s="10"/>
      <c r="H71" s="52" t="s">
        <v>73</v>
      </c>
      <c r="I71" s="31"/>
      <c r="J71" s="13"/>
    </row>
    <row r="72">
      <c r="A72" s="34"/>
      <c r="B72" s="34"/>
      <c r="C72" s="35"/>
      <c r="D72" s="34"/>
      <c r="E72" s="36"/>
      <c r="F72" s="10"/>
      <c r="H72" s="52" t="s">
        <v>74</v>
      </c>
      <c r="I72" s="31"/>
      <c r="J72" s="13"/>
    </row>
    <row r="73">
      <c r="A73" s="34"/>
      <c r="B73" s="34"/>
      <c r="C73" s="35"/>
      <c r="D73" s="34"/>
      <c r="E73" s="36"/>
      <c r="F73" s="10"/>
      <c r="H73" s="52" t="s">
        <v>75</v>
      </c>
      <c r="I73" s="31"/>
      <c r="J73" s="13"/>
    </row>
    <row r="74">
      <c r="A74" s="34"/>
      <c r="B74" s="34"/>
      <c r="C74" s="35"/>
      <c r="D74" s="34"/>
      <c r="E74" s="36"/>
      <c r="F74" s="10"/>
      <c r="H74" s="52" t="s">
        <v>76</v>
      </c>
      <c r="I74" s="31"/>
      <c r="J74" s="13"/>
    </row>
    <row r="75">
      <c r="A75" s="34"/>
      <c r="B75" s="34"/>
      <c r="C75" s="35"/>
      <c r="D75" s="34"/>
      <c r="E75" s="36"/>
      <c r="F75" s="10"/>
      <c r="H75" s="52" t="s">
        <v>77</v>
      </c>
      <c r="I75" s="31"/>
      <c r="J75" s="13"/>
    </row>
    <row r="76">
      <c r="A76" s="34"/>
      <c r="B76" s="34"/>
      <c r="C76" s="35"/>
      <c r="D76" s="34"/>
      <c r="E76" s="36"/>
      <c r="F76" s="10"/>
      <c r="H76" s="52" t="s">
        <v>78</v>
      </c>
      <c r="I76" s="31"/>
      <c r="J76" s="13"/>
    </row>
    <row r="77">
      <c r="A77" s="34"/>
      <c r="B77" s="34"/>
      <c r="C77" s="35"/>
      <c r="D77" s="34"/>
      <c r="E77" s="36"/>
      <c r="F77" s="10"/>
      <c r="H77" s="52" t="s">
        <v>79</v>
      </c>
      <c r="I77" s="31"/>
      <c r="J77" s="13"/>
    </row>
    <row r="78">
      <c r="A78" s="34"/>
      <c r="B78" s="34"/>
      <c r="C78" s="35"/>
      <c r="D78" s="34"/>
      <c r="E78" s="36"/>
      <c r="F78" s="10"/>
      <c r="H78" s="52" t="s">
        <v>80</v>
      </c>
      <c r="I78" s="31"/>
      <c r="J78" s="13"/>
    </row>
    <row r="79">
      <c r="A79" s="34"/>
      <c r="B79" s="34"/>
      <c r="C79" s="35"/>
      <c r="D79" s="34"/>
      <c r="E79" s="36"/>
      <c r="F79" s="10"/>
      <c r="H79" s="52" t="s">
        <v>82</v>
      </c>
      <c r="I79" s="31"/>
      <c r="J79" s="13"/>
    </row>
    <row r="80">
      <c r="A80" s="34"/>
      <c r="B80" s="34"/>
      <c r="C80" s="35"/>
      <c r="D80" s="34"/>
      <c r="E80" s="36"/>
      <c r="F80" s="10"/>
      <c r="H80" s="52" t="s">
        <v>83</v>
      </c>
      <c r="I80" s="31"/>
      <c r="J80" s="13"/>
    </row>
    <row r="81">
      <c r="A81" s="34"/>
      <c r="B81" s="34"/>
      <c r="C81" s="35"/>
      <c r="D81" s="34"/>
      <c r="E81" s="36"/>
      <c r="F81" s="10"/>
      <c r="H81" s="52" t="s">
        <v>84</v>
      </c>
      <c r="I81" s="31"/>
      <c r="J81" s="13"/>
    </row>
    <row r="82">
      <c r="A82" s="34"/>
      <c r="B82" s="34"/>
      <c r="C82" s="35"/>
      <c r="D82" s="34"/>
      <c r="E82" s="36"/>
      <c r="F82" s="10"/>
      <c r="H82" s="52" t="s">
        <v>85</v>
      </c>
      <c r="I82" s="31"/>
      <c r="J82" s="13"/>
    </row>
    <row r="83">
      <c r="A83" s="34"/>
      <c r="B83" s="34"/>
      <c r="C83" s="35"/>
      <c r="D83" s="34"/>
      <c r="E83" s="36"/>
      <c r="F83" s="10"/>
      <c r="H83" s="52" t="s">
        <v>86</v>
      </c>
      <c r="I83" s="31"/>
      <c r="J83" s="13"/>
    </row>
    <row r="84">
      <c r="A84" s="34"/>
      <c r="B84" s="34"/>
      <c r="C84" s="35"/>
      <c r="D84" s="34"/>
      <c r="E84" s="36"/>
      <c r="F84" s="10"/>
      <c r="H84" s="52" t="s">
        <v>87</v>
      </c>
      <c r="I84" s="31"/>
      <c r="J84" s="13"/>
    </row>
    <row r="85">
      <c r="A85" s="34"/>
      <c r="B85" s="34"/>
      <c r="C85" s="35"/>
      <c r="D85" s="34"/>
      <c r="E85" s="36"/>
      <c r="F85" s="10"/>
      <c r="H85" s="52" t="s">
        <v>88</v>
      </c>
      <c r="I85" s="31"/>
      <c r="J85" s="13"/>
    </row>
    <row r="86">
      <c r="A86" s="34"/>
      <c r="B86" s="34"/>
      <c r="C86" s="35"/>
      <c r="D86" s="34"/>
      <c r="E86" s="64"/>
      <c r="F86" s="10"/>
      <c r="H86" s="52" t="s">
        <v>89</v>
      </c>
      <c r="I86" s="31"/>
      <c r="J86" s="13"/>
    </row>
    <row r="87">
      <c r="A87" s="34"/>
      <c r="B87" s="34"/>
      <c r="C87" s="35"/>
      <c r="D87" s="34"/>
      <c r="E87" s="64"/>
      <c r="F87" s="10"/>
      <c r="H87" s="52" t="s">
        <v>90</v>
      </c>
      <c r="I87" s="31"/>
      <c r="J87" s="13"/>
    </row>
    <row r="88">
      <c r="A88" s="34"/>
      <c r="B88" s="34"/>
      <c r="C88" s="35"/>
      <c r="D88" s="34"/>
      <c r="E88" s="64"/>
      <c r="F88" s="10"/>
      <c r="H88" s="52" t="s">
        <v>91</v>
      </c>
      <c r="I88" s="31"/>
      <c r="J88" s="13"/>
    </row>
    <row r="89">
      <c r="A89" s="34"/>
      <c r="B89" s="34"/>
      <c r="C89" s="35"/>
      <c r="D89" s="34"/>
      <c r="E89" s="36"/>
      <c r="F89" s="10"/>
      <c r="H89" s="52" t="s">
        <v>92</v>
      </c>
      <c r="I89" s="31"/>
      <c r="J89" s="13"/>
    </row>
    <row r="90">
      <c r="A90" s="34"/>
      <c r="B90" s="34"/>
      <c r="C90" s="35"/>
      <c r="D90" s="34"/>
      <c r="E90" s="36"/>
      <c r="F90" s="10"/>
      <c r="H90" s="52" t="s">
        <v>93</v>
      </c>
      <c r="I90" s="31"/>
      <c r="J90" s="13"/>
    </row>
    <row r="91">
      <c r="A91" s="34"/>
      <c r="B91" s="34"/>
      <c r="C91" s="35"/>
      <c r="D91" s="34"/>
      <c r="E91" s="64"/>
      <c r="F91" s="10"/>
      <c r="H91" s="52" t="s">
        <v>94</v>
      </c>
      <c r="I91" s="31"/>
      <c r="J91" s="13"/>
    </row>
    <row r="92">
      <c r="A92" s="34"/>
      <c r="B92" s="34"/>
      <c r="C92" s="35"/>
      <c r="D92" s="34"/>
      <c r="E92" s="53"/>
      <c r="F92" s="10"/>
      <c r="H92" s="52" t="s">
        <v>95</v>
      </c>
      <c r="I92" s="31"/>
      <c r="J92" s="13"/>
    </row>
    <row r="93">
      <c r="A93" s="34"/>
      <c r="B93" s="34"/>
      <c r="C93" s="35"/>
      <c r="D93" s="34"/>
      <c r="E93" s="36"/>
      <c r="F93" s="10"/>
      <c r="H93" s="52" t="s">
        <v>96</v>
      </c>
      <c r="I93" s="31"/>
      <c r="J93" s="13"/>
    </row>
    <row r="94">
      <c r="A94" s="34"/>
      <c r="B94" s="34"/>
      <c r="C94" s="35"/>
      <c r="D94" s="34"/>
      <c r="E94" s="36"/>
      <c r="F94" s="10"/>
      <c r="H94" s="52" t="s">
        <v>97</v>
      </c>
      <c r="I94" s="31"/>
      <c r="J94" s="13"/>
    </row>
    <row r="95">
      <c r="A95" s="34"/>
      <c r="B95" s="34"/>
      <c r="C95" s="35"/>
      <c r="D95" s="34"/>
      <c r="E95" s="36"/>
      <c r="F95" s="10"/>
      <c r="H95" s="52" t="s">
        <v>98</v>
      </c>
      <c r="I95" s="31"/>
      <c r="J95" s="13"/>
    </row>
    <row r="96">
      <c r="A96" s="34"/>
      <c r="B96" s="34"/>
      <c r="C96" s="35"/>
      <c r="D96" s="34"/>
      <c r="E96" s="36"/>
      <c r="F96" s="10"/>
      <c r="H96" s="52" t="s">
        <v>99</v>
      </c>
      <c r="I96" s="31"/>
      <c r="J96" s="13"/>
    </row>
    <row r="97">
      <c r="A97" s="34"/>
      <c r="B97" s="34"/>
      <c r="C97" s="35"/>
      <c r="D97" s="34"/>
      <c r="E97" s="36"/>
      <c r="F97" s="10"/>
      <c r="H97" s="52" t="s">
        <v>101</v>
      </c>
      <c r="I97" s="31"/>
      <c r="J97" s="13"/>
    </row>
    <row r="98">
      <c r="A98" s="34"/>
      <c r="B98" s="34"/>
      <c r="C98" s="35"/>
      <c r="D98" s="34"/>
      <c r="E98" s="36"/>
      <c r="F98" s="10"/>
      <c r="H98" s="52" t="s">
        <v>102</v>
      </c>
      <c r="I98" s="31"/>
      <c r="J98" s="13"/>
    </row>
    <row r="99">
      <c r="A99" s="68"/>
      <c r="B99" s="68"/>
      <c r="C99" s="35"/>
      <c r="D99" s="68"/>
      <c r="E99" s="36"/>
      <c r="F99" s="10"/>
      <c r="H99" s="52" t="s">
        <v>103</v>
      </c>
      <c r="I99" s="31"/>
      <c r="J99" s="13"/>
    </row>
    <row r="100">
      <c r="A100" s="34"/>
      <c r="B100" s="34"/>
      <c r="C100" s="35"/>
      <c r="D100" s="34"/>
      <c r="E100" s="36"/>
      <c r="F100" s="10"/>
      <c r="H100" s="52" t="s">
        <v>104</v>
      </c>
      <c r="I100" s="31"/>
      <c r="J100" s="13"/>
    </row>
    <row r="101">
      <c r="A101" s="68"/>
      <c r="B101" s="68"/>
      <c r="C101" s="35"/>
      <c r="D101" s="68"/>
      <c r="E101" s="36"/>
      <c r="F101" s="10"/>
      <c r="H101" s="52" t="s">
        <v>105</v>
      </c>
      <c r="I101" s="31"/>
      <c r="J101" s="13"/>
    </row>
    <row r="102">
      <c r="A102" s="34"/>
      <c r="B102" s="34"/>
      <c r="C102" s="35"/>
      <c r="D102" s="34"/>
      <c r="E102" s="36"/>
      <c r="F102" s="10"/>
      <c r="H102" s="52" t="s">
        <v>106</v>
      </c>
      <c r="I102" s="31"/>
      <c r="J102" s="13"/>
    </row>
    <row r="103">
      <c r="A103" s="34"/>
      <c r="B103" s="34"/>
      <c r="C103" s="35"/>
      <c r="D103" s="34"/>
      <c r="E103" s="36"/>
      <c r="F103" s="10"/>
      <c r="H103" s="52"/>
      <c r="I103" s="31"/>
      <c r="J103" s="13"/>
    </row>
    <row r="104">
      <c r="A104" s="34"/>
      <c r="B104" s="34"/>
      <c r="C104" s="35"/>
      <c r="D104" s="34"/>
      <c r="E104" s="36"/>
      <c r="F104" s="10"/>
      <c r="H104" s="52" t="s">
        <v>107</v>
      </c>
      <c r="I104" s="31"/>
      <c r="J104" s="13"/>
    </row>
    <row r="105">
      <c r="A105" s="34"/>
      <c r="B105" s="34"/>
      <c r="C105" s="35"/>
      <c r="D105" s="34"/>
      <c r="E105" s="36"/>
      <c r="F105" s="10"/>
      <c r="H105" s="52" t="s">
        <v>108</v>
      </c>
      <c r="I105" s="31"/>
      <c r="J105" s="13"/>
    </row>
    <row r="106">
      <c r="A106" s="34"/>
      <c r="B106" s="34"/>
      <c r="C106" s="35"/>
      <c r="D106" s="34"/>
      <c r="E106" s="36"/>
      <c r="F106" s="10"/>
      <c r="H106" s="52" t="s">
        <v>109</v>
      </c>
      <c r="I106" s="31"/>
      <c r="J106" s="13"/>
    </row>
    <row r="107">
      <c r="A107" s="34"/>
      <c r="B107" s="34"/>
      <c r="C107" s="35"/>
      <c r="D107" s="34"/>
      <c r="E107" s="36"/>
      <c r="F107" s="10"/>
      <c r="H107" s="52" t="s">
        <v>110</v>
      </c>
      <c r="I107" s="31"/>
      <c r="J107" s="13"/>
    </row>
    <row r="108">
      <c r="A108" s="34"/>
      <c r="B108" s="34"/>
      <c r="C108" s="35"/>
      <c r="D108" s="34"/>
      <c r="E108" s="36"/>
      <c r="F108" s="10"/>
      <c r="H108" s="52" t="s">
        <v>111</v>
      </c>
      <c r="I108" s="31"/>
      <c r="J108" s="13"/>
    </row>
    <row r="109">
      <c r="A109" s="34"/>
      <c r="B109" s="34"/>
      <c r="C109" s="35"/>
      <c r="D109" s="34"/>
      <c r="E109" s="36"/>
      <c r="F109" s="10"/>
      <c r="H109" s="52" t="s">
        <v>112</v>
      </c>
      <c r="I109" s="31"/>
      <c r="J109" s="13"/>
    </row>
    <row r="110">
      <c r="A110" s="34"/>
      <c r="B110" s="34"/>
      <c r="C110" s="35"/>
      <c r="D110" s="34"/>
      <c r="E110" s="36"/>
      <c r="F110" s="10"/>
      <c r="H110" s="52" t="s">
        <v>113</v>
      </c>
      <c r="I110" s="31"/>
      <c r="J110" s="13"/>
    </row>
    <row r="111">
      <c r="A111" s="34"/>
      <c r="B111" s="34"/>
      <c r="C111" s="35"/>
      <c r="D111" s="34"/>
      <c r="E111" s="36"/>
      <c r="F111" s="10"/>
      <c r="H111" s="52" t="s">
        <v>114</v>
      </c>
      <c r="I111" s="31"/>
      <c r="J111" s="13"/>
    </row>
    <row r="112">
      <c r="A112" s="34"/>
      <c r="B112" s="34"/>
      <c r="C112" s="35"/>
      <c r="D112" s="34"/>
      <c r="E112" s="36"/>
      <c r="F112" s="10"/>
      <c r="H112" s="52" t="s">
        <v>115</v>
      </c>
      <c r="I112" s="31"/>
      <c r="J112" s="13"/>
    </row>
    <row r="113">
      <c r="A113" s="34"/>
      <c r="B113" s="34"/>
      <c r="C113" s="35"/>
      <c r="D113" s="34"/>
      <c r="E113" s="36"/>
      <c r="F113" s="10"/>
      <c r="H113" s="52" t="s">
        <v>116</v>
      </c>
      <c r="I113" s="31"/>
      <c r="J113" s="13"/>
    </row>
    <row r="114">
      <c r="A114" s="34"/>
      <c r="B114" s="34"/>
      <c r="C114" s="35"/>
      <c r="D114" s="34"/>
      <c r="E114" s="36"/>
      <c r="F114" s="10"/>
      <c r="H114" s="52" t="s">
        <v>117</v>
      </c>
      <c r="I114" s="31"/>
      <c r="J114" s="13"/>
    </row>
    <row r="115">
      <c r="A115" s="34"/>
      <c r="B115" s="34"/>
      <c r="C115" s="35"/>
      <c r="D115" s="34"/>
      <c r="E115" s="36"/>
      <c r="F115" s="10"/>
      <c r="H115" s="52" t="s">
        <v>118</v>
      </c>
      <c r="I115" s="31"/>
      <c r="J115" s="13"/>
    </row>
    <row r="116">
      <c r="A116" s="34"/>
      <c r="B116" s="34"/>
      <c r="C116" s="35"/>
      <c r="D116" s="34"/>
      <c r="E116" s="36"/>
      <c r="F116" s="10"/>
      <c r="H116" s="52" t="s">
        <v>119</v>
      </c>
      <c r="I116" s="31"/>
      <c r="J116" s="13"/>
    </row>
    <row r="117">
      <c r="A117" s="34"/>
      <c r="B117" s="34"/>
      <c r="C117" s="35"/>
      <c r="D117" s="34"/>
      <c r="E117" s="36"/>
      <c r="F117" s="10"/>
      <c r="H117" s="52" t="s">
        <v>120</v>
      </c>
      <c r="I117" s="31"/>
      <c r="J117" s="13"/>
    </row>
    <row r="118">
      <c r="A118" s="34"/>
      <c r="B118" s="34"/>
      <c r="C118" s="35"/>
      <c r="D118" s="34"/>
      <c r="E118" s="36"/>
      <c r="F118" s="10"/>
      <c r="H118" s="52" t="s">
        <v>121</v>
      </c>
      <c r="I118" s="31"/>
      <c r="J118" s="13"/>
    </row>
    <row r="119">
      <c r="A119" s="34"/>
      <c r="B119" s="34"/>
      <c r="C119" s="35"/>
      <c r="D119" s="34"/>
      <c r="E119" s="36"/>
      <c r="F119" s="10"/>
      <c r="H119" s="52" t="s">
        <v>122</v>
      </c>
      <c r="I119" s="31"/>
      <c r="J119" s="13"/>
    </row>
    <row r="120">
      <c r="A120" s="34"/>
      <c r="B120" s="34"/>
      <c r="C120" s="35"/>
      <c r="D120" s="34"/>
      <c r="E120" s="33"/>
      <c r="F120" s="10"/>
      <c r="H120" s="52" t="s">
        <v>123</v>
      </c>
      <c r="I120" s="31"/>
      <c r="J120" s="13"/>
    </row>
    <row r="121">
      <c r="A121" s="34"/>
      <c r="B121" s="34"/>
      <c r="C121" s="35"/>
      <c r="D121" s="34"/>
      <c r="E121" s="36"/>
      <c r="F121" s="10"/>
      <c r="H121" s="52" t="s">
        <v>125</v>
      </c>
      <c r="I121" s="31"/>
      <c r="J121" s="13"/>
    </row>
    <row r="122">
      <c r="A122" s="34"/>
      <c r="B122" s="34"/>
      <c r="C122" s="35"/>
      <c r="D122" s="34"/>
      <c r="E122" s="36"/>
      <c r="F122" s="10"/>
      <c r="H122" s="52" t="s">
        <v>128</v>
      </c>
      <c r="I122" s="31"/>
      <c r="J122" s="13"/>
    </row>
    <row r="123">
      <c r="A123" s="34"/>
      <c r="B123" s="34"/>
      <c r="C123" s="35"/>
      <c r="D123" s="34"/>
      <c r="E123" s="36"/>
      <c r="F123" s="10"/>
      <c r="H123" s="52" t="s">
        <v>129</v>
      </c>
      <c r="I123" s="31"/>
      <c r="J123" s="13"/>
    </row>
    <row r="124">
      <c r="A124" s="34"/>
      <c r="B124" s="34"/>
      <c r="C124" s="35"/>
      <c r="D124" s="34"/>
      <c r="E124" s="36"/>
      <c r="F124" s="10"/>
      <c r="H124" s="52" t="s">
        <v>130</v>
      </c>
      <c r="I124" s="31"/>
      <c r="J124" s="13"/>
    </row>
    <row r="125">
      <c r="A125" s="34"/>
      <c r="B125" s="34"/>
      <c r="C125" s="35"/>
      <c r="D125" s="34"/>
      <c r="E125" s="36"/>
      <c r="F125" s="10"/>
      <c r="H125" s="52" t="s">
        <v>131</v>
      </c>
      <c r="I125" s="31"/>
      <c r="J125" s="13"/>
    </row>
    <row r="126">
      <c r="A126" s="34"/>
      <c r="B126" s="34"/>
      <c r="C126" s="35"/>
      <c r="D126" s="34"/>
      <c r="E126" s="36"/>
      <c r="F126" s="10"/>
      <c r="H126" s="52" t="s">
        <v>132</v>
      </c>
      <c r="I126" s="31"/>
      <c r="J126" s="13"/>
    </row>
    <row r="127">
      <c r="A127" s="34"/>
      <c r="B127" s="34"/>
      <c r="C127" s="35"/>
      <c r="D127" s="34"/>
      <c r="E127" s="36"/>
      <c r="F127" s="10"/>
      <c r="H127" s="52" t="s">
        <v>133</v>
      </c>
      <c r="I127" s="31"/>
      <c r="J127" s="13"/>
    </row>
    <row r="128">
      <c r="A128" s="34"/>
      <c r="B128" s="34"/>
      <c r="C128" s="35"/>
      <c r="D128" s="34"/>
      <c r="E128" s="36"/>
      <c r="F128" s="10"/>
      <c r="H128" s="52" t="s">
        <v>134</v>
      </c>
      <c r="I128" s="31"/>
      <c r="J128" s="13"/>
    </row>
    <row r="129">
      <c r="A129" s="34"/>
      <c r="B129" s="34"/>
      <c r="C129" s="35"/>
      <c r="D129" s="34"/>
      <c r="E129" s="36"/>
      <c r="F129" s="10"/>
      <c r="H129" s="52" t="s">
        <v>135</v>
      </c>
      <c r="I129" s="31"/>
      <c r="J129" s="13"/>
    </row>
    <row r="130">
      <c r="A130" s="34"/>
      <c r="B130" s="34"/>
      <c r="C130" s="35"/>
      <c r="D130" s="34"/>
      <c r="E130" s="36"/>
      <c r="F130" s="10"/>
      <c r="H130" s="52" t="s">
        <v>136</v>
      </c>
      <c r="I130" s="31"/>
      <c r="J130" s="13"/>
    </row>
    <row r="131">
      <c r="A131" s="68"/>
      <c r="B131" s="68"/>
      <c r="C131" s="35"/>
      <c r="D131" s="68"/>
      <c r="E131" s="36"/>
      <c r="F131" s="10"/>
      <c r="H131" s="52" t="s">
        <v>137</v>
      </c>
      <c r="I131" s="31"/>
      <c r="J131" s="13"/>
    </row>
    <row r="132">
      <c r="A132" s="68"/>
      <c r="B132" s="68"/>
      <c r="C132" s="35"/>
      <c r="D132" s="68"/>
      <c r="E132" s="36"/>
      <c r="F132" s="10"/>
      <c r="H132" s="52" t="s">
        <v>138</v>
      </c>
      <c r="I132" s="31"/>
      <c r="J132" s="13"/>
    </row>
    <row r="133">
      <c r="A133" s="34"/>
      <c r="B133" s="34"/>
      <c r="C133" s="35"/>
      <c r="D133" s="34"/>
      <c r="E133" s="36"/>
      <c r="F133" s="10"/>
      <c r="H133" s="52" t="s">
        <v>139</v>
      </c>
      <c r="I133" s="31"/>
      <c r="J133" s="13"/>
    </row>
    <row r="134">
      <c r="A134" s="68"/>
      <c r="B134" s="68"/>
      <c r="C134" s="35"/>
      <c r="D134" s="68"/>
      <c r="E134" s="36"/>
      <c r="F134" s="10"/>
      <c r="H134" s="52" t="s">
        <v>140</v>
      </c>
      <c r="I134" s="31"/>
      <c r="J134" s="13"/>
    </row>
    <row r="135">
      <c r="A135" s="34"/>
      <c r="B135" s="34"/>
      <c r="C135" s="35"/>
      <c r="D135" s="34"/>
      <c r="E135" s="36"/>
      <c r="F135" s="10"/>
      <c r="H135" s="52" t="s">
        <v>142</v>
      </c>
      <c r="I135" s="31"/>
      <c r="J135" s="13"/>
    </row>
    <row r="136">
      <c r="A136" s="34"/>
      <c r="B136" s="34"/>
      <c r="C136" s="35"/>
      <c r="D136" s="34"/>
      <c r="E136" s="36"/>
      <c r="F136" s="10"/>
      <c r="H136" s="52" t="s">
        <v>143</v>
      </c>
      <c r="I136" s="31"/>
      <c r="J136" s="13"/>
    </row>
    <row r="137">
      <c r="A137" s="34"/>
      <c r="B137" s="34"/>
      <c r="C137" s="35"/>
      <c r="D137" s="34"/>
      <c r="E137" s="36"/>
      <c r="F137" s="10"/>
      <c r="H137" s="52" t="s">
        <v>147</v>
      </c>
      <c r="I137" s="31"/>
      <c r="J137" s="13"/>
    </row>
    <row r="138">
      <c r="A138" s="34"/>
      <c r="B138" s="34"/>
      <c r="C138" s="35"/>
      <c r="D138" s="34"/>
      <c r="E138" s="36"/>
      <c r="F138" s="10"/>
      <c r="H138" s="52" t="s">
        <v>152</v>
      </c>
      <c r="I138" s="31"/>
      <c r="J138" s="13"/>
    </row>
    <row r="139">
      <c r="A139" s="34"/>
      <c r="B139" s="34"/>
      <c r="C139" s="35"/>
      <c r="D139" s="34"/>
      <c r="E139" s="36"/>
      <c r="F139" s="10"/>
      <c r="H139" s="52" t="s">
        <v>153</v>
      </c>
      <c r="I139" s="31"/>
      <c r="J139" s="13"/>
    </row>
    <row r="140">
      <c r="A140" s="34"/>
      <c r="B140" s="34"/>
      <c r="C140" s="35"/>
      <c r="D140" s="34"/>
      <c r="E140" s="36"/>
      <c r="F140" s="10"/>
      <c r="H140" s="52" t="s">
        <v>154</v>
      </c>
      <c r="I140" s="31"/>
      <c r="J140" s="13"/>
    </row>
    <row r="141">
      <c r="A141" s="34"/>
      <c r="B141" s="34"/>
      <c r="C141" s="35"/>
      <c r="D141" s="34"/>
      <c r="E141" s="36"/>
      <c r="F141" s="10"/>
      <c r="H141" s="52" t="s">
        <v>155</v>
      </c>
      <c r="I141" s="31"/>
      <c r="J141" s="13"/>
    </row>
    <row r="142">
      <c r="A142" s="34"/>
      <c r="B142" s="34"/>
      <c r="C142" s="35"/>
      <c r="D142" s="34"/>
      <c r="E142" s="36"/>
      <c r="F142" s="10"/>
      <c r="H142" s="52" t="s">
        <v>156</v>
      </c>
      <c r="I142" s="31"/>
      <c r="J142" s="13"/>
    </row>
    <row r="143">
      <c r="A143" s="34"/>
      <c r="B143" s="34"/>
      <c r="C143" s="35"/>
      <c r="D143" s="34"/>
      <c r="E143" s="36"/>
      <c r="F143" s="10"/>
      <c r="H143" s="52" t="s">
        <v>157</v>
      </c>
      <c r="I143" s="31"/>
      <c r="J143" s="13"/>
    </row>
    <row r="144">
      <c r="A144" s="34"/>
      <c r="B144" s="34"/>
      <c r="C144" s="35"/>
      <c r="D144" s="34"/>
      <c r="E144" s="36"/>
      <c r="F144" s="10"/>
      <c r="H144" s="52" t="s">
        <v>158</v>
      </c>
      <c r="I144" s="31"/>
      <c r="J144" s="13"/>
    </row>
    <row r="145">
      <c r="A145" s="34"/>
      <c r="B145" s="34"/>
      <c r="C145" s="35"/>
      <c r="D145" s="34"/>
      <c r="E145" s="36"/>
      <c r="F145" s="10"/>
      <c r="H145" s="52" t="s">
        <v>159</v>
      </c>
      <c r="I145" s="31"/>
      <c r="J145" s="13"/>
    </row>
    <row r="146">
      <c r="A146" s="34"/>
      <c r="B146" s="34"/>
      <c r="C146" s="35"/>
      <c r="D146" s="34"/>
      <c r="E146" s="36"/>
      <c r="F146" s="10"/>
      <c r="H146" s="52" t="s">
        <v>160</v>
      </c>
      <c r="I146" s="31"/>
      <c r="J146" s="13"/>
    </row>
    <row r="147">
      <c r="A147" s="68"/>
      <c r="B147" s="68"/>
      <c r="C147" s="29"/>
      <c r="D147" s="68"/>
      <c r="E147" s="36"/>
      <c r="F147" s="10"/>
      <c r="H147" s="52" t="s">
        <v>161</v>
      </c>
      <c r="I147" s="31"/>
      <c r="J147" s="13"/>
    </row>
    <row r="148">
      <c r="A148" s="34"/>
      <c r="B148" s="34"/>
      <c r="C148" s="35"/>
      <c r="D148" s="34"/>
      <c r="E148" s="36"/>
      <c r="F148" s="10"/>
      <c r="H148" s="52" t="s">
        <v>162</v>
      </c>
      <c r="I148" s="31"/>
      <c r="J148" s="13"/>
    </row>
    <row r="149">
      <c r="A149" s="34"/>
      <c r="B149" s="34"/>
      <c r="C149" s="35"/>
      <c r="D149" s="34"/>
      <c r="E149" s="36"/>
      <c r="F149" s="10"/>
      <c r="H149" s="52" t="s">
        <v>163</v>
      </c>
      <c r="I149" s="31"/>
      <c r="J149" s="13"/>
    </row>
    <row r="150">
      <c r="A150" s="34"/>
      <c r="B150" s="34"/>
      <c r="C150" s="35"/>
      <c r="D150" s="34"/>
      <c r="E150" s="36"/>
      <c r="F150" s="10"/>
      <c r="H150" s="52" t="s">
        <v>164</v>
      </c>
      <c r="I150" s="31"/>
      <c r="J150" s="13"/>
    </row>
    <row r="151">
      <c r="A151" s="34"/>
      <c r="B151" s="34"/>
      <c r="C151" s="35"/>
      <c r="D151" s="34"/>
      <c r="E151" s="36"/>
      <c r="F151" s="10"/>
      <c r="H151" s="52" t="s">
        <v>165</v>
      </c>
      <c r="I151" s="31"/>
      <c r="J151" s="13"/>
    </row>
    <row r="152">
      <c r="A152" s="34"/>
      <c r="B152" s="34"/>
      <c r="C152" s="35"/>
      <c r="D152" s="34"/>
      <c r="E152" s="36"/>
      <c r="F152" s="10"/>
      <c r="H152" s="52" t="s">
        <v>166</v>
      </c>
      <c r="I152" s="31"/>
      <c r="J152" s="13"/>
    </row>
    <row r="153">
      <c r="A153" s="34"/>
      <c r="B153" s="34"/>
      <c r="C153" s="35"/>
      <c r="D153" s="34"/>
      <c r="E153" s="36"/>
      <c r="F153" s="10"/>
      <c r="H153" s="52" t="s">
        <v>167</v>
      </c>
      <c r="I153" s="31"/>
      <c r="J153" s="13"/>
    </row>
    <row r="154">
      <c r="A154" s="34"/>
      <c r="B154" s="34"/>
      <c r="C154" s="35"/>
      <c r="D154" s="34"/>
      <c r="E154" s="36"/>
      <c r="F154" s="10"/>
      <c r="H154" s="52" t="s">
        <v>168</v>
      </c>
      <c r="I154" s="31"/>
      <c r="J154" s="13"/>
    </row>
    <row r="155">
      <c r="A155" s="34"/>
      <c r="B155" s="34"/>
      <c r="C155" s="35"/>
      <c r="D155" s="34"/>
      <c r="E155" s="36"/>
      <c r="F155" s="10"/>
      <c r="H155" s="52" t="s">
        <v>169</v>
      </c>
      <c r="I155" s="31"/>
      <c r="J155" s="13"/>
    </row>
    <row r="156">
      <c r="A156" s="34"/>
      <c r="B156" s="34"/>
      <c r="C156" s="35"/>
      <c r="D156" s="34"/>
      <c r="E156" s="36"/>
      <c r="F156" s="10"/>
      <c r="H156" s="52" t="s">
        <v>170</v>
      </c>
      <c r="I156" s="31"/>
      <c r="J156" s="13"/>
    </row>
    <row r="157">
      <c r="A157" s="34"/>
      <c r="B157" s="34"/>
      <c r="C157" s="35"/>
      <c r="D157" s="34"/>
      <c r="E157" s="36"/>
      <c r="F157" s="10"/>
      <c r="H157" s="52" t="s">
        <v>171</v>
      </c>
      <c r="I157" s="31"/>
      <c r="J157" s="13"/>
    </row>
    <row r="158">
      <c r="A158" s="68"/>
      <c r="B158" s="68"/>
      <c r="C158" s="29"/>
      <c r="D158" s="68"/>
      <c r="E158" s="36"/>
      <c r="F158" s="10"/>
      <c r="H158" s="52" t="s">
        <v>172</v>
      </c>
      <c r="I158" s="31"/>
      <c r="J158" s="13"/>
    </row>
    <row r="159">
      <c r="A159" s="34"/>
      <c r="B159" s="34"/>
      <c r="C159" s="35"/>
      <c r="D159" s="34"/>
      <c r="E159" s="36"/>
      <c r="F159" s="10"/>
      <c r="H159" s="52" t="s">
        <v>173</v>
      </c>
      <c r="I159" s="31"/>
      <c r="J159" s="13"/>
    </row>
    <row r="160">
      <c r="A160" s="34"/>
      <c r="B160" s="34"/>
      <c r="C160" s="35"/>
      <c r="D160" s="34"/>
      <c r="E160" s="36"/>
      <c r="F160" s="10"/>
      <c r="H160" s="52" t="s">
        <v>174</v>
      </c>
      <c r="I160" s="31"/>
      <c r="J160" s="13"/>
    </row>
    <row r="161">
      <c r="A161" s="34"/>
      <c r="B161" s="34"/>
      <c r="C161" s="35"/>
      <c r="D161" s="34"/>
      <c r="E161" s="36"/>
      <c r="F161" s="10"/>
      <c r="H161" s="52" t="s">
        <v>175</v>
      </c>
      <c r="I161" s="31"/>
      <c r="J161" s="13"/>
    </row>
    <row r="162">
      <c r="A162" s="34"/>
      <c r="B162" s="34"/>
      <c r="C162" s="35"/>
      <c r="D162" s="34"/>
      <c r="E162" s="36"/>
      <c r="F162" s="10"/>
      <c r="H162" s="52" t="s">
        <v>176</v>
      </c>
      <c r="I162" s="31"/>
      <c r="J162" s="13"/>
    </row>
    <row r="163">
      <c r="A163" s="34"/>
      <c r="B163" s="34"/>
      <c r="C163" s="35"/>
      <c r="D163" s="34"/>
      <c r="E163" s="36"/>
      <c r="F163" s="10"/>
      <c r="H163" s="52" t="s">
        <v>177</v>
      </c>
      <c r="I163" s="31"/>
      <c r="J163" s="13"/>
    </row>
    <row r="164">
      <c r="A164" s="34"/>
      <c r="B164" s="34"/>
      <c r="C164" s="35"/>
      <c r="D164" s="34"/>
      <c r="E164" s="36"/>
      <c r="F164" s="10"/>
      <c r="H164" s="52" t="s">
        <v>178</v>
      </c>
      <c r="I164" s="31"/>
      <c r="J164" s="13"/>
    </row>
    <row r="165">
      <c r="A165" s="34"/>
      <c r="B165" s="34"/>
      <c r="C165" s="35"/>
      <c r="D165" s="34"/>
      <c r="E165" s="36"/>
      <c r="F165" s="10"/>
      <c r="H165" s="52" t="s">
        <v>179</v>
      </c>
      <c r="I165" s="31"/>
      <c r="J165" s="13"/>
    </row>
    <row r="166">
      <c r="A166" s="34"/>
      <c r="B166" s="34"/>
      <c r="C166" s="35"/>
      <c r="D166" s="34"/>
      <c r="E166" s="36"/>
      <c r="F166" s="10"/>
      <c r="H166" s="52" t="s">
        <v>180</v>
      </c>
      <c r="I166" s="31"/>
      <c r="J166" s="13"/>
    </row>
    <row r="167">
      <c r="A167" s="34"/>
      <c r="B167" s="34"/>
      <c r="C167" s="35"/>
      <c r="D167" s="34"/>
      <c r="E167" s="36"/>
      <c r="F167" s="10"/>
      <c r="H167" s="52" t="s">
        <v>181</v>
      </c>
      <c r="I167" s="31"/>
      <c r="J167" s="13"/>
    </row>
    <row r="168">
      <c r="A168" s="34"/>
      <c r="B168" s="34"/>
      <c r="C168" s="35"/>
      <c r="D168" s="34"/>
      <c r="E168" s="36"/>
      <c r="F168" s="10"/>
      <c r="H168" s="52" t="s">
        <v>182</v>
      </c>
      <c r="I168" s="31"/>
      <c r="J168" s="13"/>
    </row>
    <row r="169">
      <c r="A169" s="34"/>
      <c r="B169" s="34"/>
      <c r="C169" s="35"/>
      <c r="D169" s="34"/>
      <c r="E169" s="36"/>
      <c r="F169" s="10"/>
      <c r="H169" s="52" t="s">
        <v>183</v>
      </c>
      <c r="I169" s="31"/>
      <c r="J169" s="13"/>
    </row>
    <row r="170">
      <c r="A170" s="34"/>
      <c r="B170" s="34"/>
      <c r="C170" s="35"/>
      <c r="D170" s="34"/>
      <c r="E170" s="36"/>
      <c r="F170" s="10"/>
      <c r="H170" s="52" t="s">
        <v>184</v>
      </c>
      <c r="I170" s="31"/>
      <c r="J170" s="13"/>
    </row>
    <row r="171">
      <c r="A171" s="34"/>
      <c r="B171" s="34"/>
      <c r="C171" s="35"/>
      <c r="D171" s="34"/>
      <c r="E171" s="36"/>
      <c r="F171" s="10"/>
      <c r="H171" s="52" t="s">
        <v>186</v>
      </c>
      <c r="I171" s="31"/>
      <c r="J171" s="13"/>
    </row>
    <row r="172">
      <c r="A172" s="28"/>
      <c r="B172" s="28"/>
      <c r="C172" s="29"/>
      <c r="D172" s="28"/>
      <c r="E172" s="30"/>
      <c r="F172" s="10"/>
      <c r="H172" s="52" t="s">
        <v>188</v>
      </c>
      <c r="I172" s="31"/>
      <c r="J172" s="13"/>
    </row>
    <row r="173">
      <c r="A173" s="28"/>
      <c r="B173" s="28"/>
      <c r="C173" s="29"/>
      <c r="D173" s="28"/>
      <c r="E173" s="30"/>
      <c r="F173" s="10"/>
      <c r="H173" s="52" t="s">
        <v>189</v>
      </c>
      <c r="I173" s="31"/>
      <c r="J173" s="13"/>
    </row>
    <row r="174">
      <c r="A174" s="2"/>
      <c r="B174" s="84"/>
      <c r="C174" s="4"/>
      <c r="D174" s="84"/>
      <c r="E174" s="5"/>
      <c r="F174" s="10"/>
      <c r="H174" s="52" t="s">
        <v>190</v>
      </c>
      <c r="I174" s="31"/>
      <c r="J174" s="13"/>
    </row>
    <row r="175">
      <c r="A175" s="14"/>
      <c r="B175" s="85"/>
      <c r="C175" s="4"/>
      <c r="D175" s="85"/>
      <c r="E175" s="5"/>
      <c r="F175" s="10"/>
      <c r="H175" s="52" t="s">
        <v>191</v>
      </c>
      <c r="I175" s="31"/>
      <c r="J175" s="13"/>
    </row>
    <row r="176">
      <c r="A176" s="2"/>
      <c r="B176" s="2"/>
      <c r="C176" s="4"/>
      <c r="D176" s="2"/>
      <c r="E176" s="5"/>
      <c r="F176" s="10"/>
      <c r="H176" s="52" t="s">
        <v>192</v>
      </c>
      <c r="I176" s="31"/>
      <c r="J176" s="13"/>
    </row>
    <row r="177">
      <c r="A177" s="20"/>
      <c r="B177" s="20"/>
      <c r="C177" s="4"/>
      <c r="D177" s="20"/>
      <c r="E177" s="5"/>
      <c r="F177" s="10"/>
      <c r="H177" s="52" t="s">
        <v>193</v>
      </c>
      <c r="I177" s="31"/>
      <c r="J177" s="13"/>
    </row>
    <row r="178">
      <c r="A178" s="88"/>
      <c r="B178" s="88"/>
      <c r="C178" s="23"/>
      <c r="D178" s="88"/>
      <c r="E178" s="24"/>
      <c r="F178" s="10"/>
      <c r="H178" s="52" t="s">
        <v>194</v>
      </c>
      <c r="I178" s="31"/>
      <c r="J178" s="13"/>
    </row>
    <row r="179">
      <c r="A179" s="28"/>
      <c r="B179" s="28"/>
      <c r="C179" s="29"/>
      <c r="D179" s="28"/>
      <c r="E179" s="30"/>
      <c r="F179" s="10"/>
      <c r="H179" s="52" t="s">
        <v>195</v>
      </c>
      <c r="I179" s="31"/>
      <c r="J179" s="13"/>
    </row>
    <row r="180">
      <c r="A180" s="32"/>
      <c r="B180" s="32"/>
      <c r="C180" s="33"/>
      <c r="D180" s="32"/>
      <c r="E180" s="33"/>
      <c r="F180" s="10"/>
      <c r="H180" s="52" t="s">
        <v>196</v>
      </c>
      <c r="I180" s="31"/>
      <c r="J180" s="13"/>
    </row>
    <row r="181">
      <c r="A181" s="34"/>
      <c r="B181" s="34"/>
      <c r="C181" s="35"/>
      <c r="D181" s="34"/>
      <c r="E181" s="36"/>
      <c r="F181" s="10"/>
      <c r="H181" s="52" t="s">
        <v>198</v>
      </c>
      <c r="I181" s="31"/>
      <c r="J181" s="13"/>
    </row>
    <row r="182">
      <c r="A182" s="34"/>
      <c r="B182" s="34"/>
      <c r="C182" s="35"/>
      <c r="D182" s="34"/>
      <c r="E182" s="36"/>
      <c r="F182" s="10"/>
      <c r="H182" s="52" t="s">
        <v>199</v>
      </c>
      <c r="I182" s="31"/>
      <c r="J182" s="13"/>
    </row>
    <row r="183">
      <c r="A183" s="34"/>
      <c r="B183" s="34"/>
      <c r="C183" s="35"/>
      <c r="D183" s="34"/>
      <c r="E183" s="36"/>
      <c r="F183" s="10"/>
      <c r="H183" s="52" t="s">
        <v>200</v>
      </c>
      <c r="I183" s="31"/>
      <c r="J183" s="13"/>
    </row>
    <row r="184">
      <c r="A184" s="34"/>
      <c r="B184" s="34"/>
      <c r="C184" s="35"/>
      <c r="D184" s="34"/>
      <c r="E184" s="36"/>
      <c r="F184" s="10"/>
      <c r="H184" s="52" t="s">
        <v>201</v>
      </c>
      <c r="I184" s="31"/>
      <c r="J184" s="13"/>
    </row>
    <row r="185">
      <c r="A185" s="41"/>
      <c r="B185" s="42"/>
      <c r="C185" s="35"/>
      <c r="D185" s="42"/>
      <c r="E185" s="36"/>
      <c r="F185" s="10"/>
      <c r="H185" s="52" t="s">
        <v>202</v>
      </c>
      <c r="I185" s="31"/>
      <c r="J185" s="13"/>
    </row>
    <row r="186">
      <c r="A186" s="34"/>
      <c r="B186" s="34"/>
      <c r="C186" s="35"/>
      <c r="D186" s="34"/>
      <c r="E186" s="36"/>
      <c r="F186" s="10"/>
      <c r="H186" s="52" t="s">
        <v>203</v>
      </c>
      <c r="I186" s="31"/>
      <c r="J186" s="13"/>
    </row>
    <row r="187">
      <c r="A187" s="68"/>
      <c r="B187" s="68"/>
      <c r="C187" s="35"/>
      <c r="D187" s="68"/>
      <c r="E187" s="36"/>
      <c r="F187" s="10"/>
      <c r="H187" s="52" t="s">
        <v>204</v>
      </c>
      <c r="I187" s="31"/>
      <c r="J187" s="13"/>
    </row>
    <row r="188">
      <c r="A188" s="34"/>
      <c r="B188" s="34"/>
      <c r="C188" s="35"/>
      <c r="D188" s="34"/>
      <c r="E188" s="36"/>
      <c r="F188" s="10"/>
      <c r="H188" s="52" t="s">
        <v>205</v>
      </c>
      <c r="I188" s="31"/>
      <c r="J188" s="13"/>
    </row>
    <row r="189">
      <c r="A189" s="34"/>
      <c r="B189" s="34"/>
      <c r="C189" s="35"/>
      <c r="D189" s="34"/>
      <c r="E189" s="36"/>
      <c r="F189" s="10"/>
      <c r="H189" s="52" t="s">
        <v>207</v>
      </c>
      <c r="I189" s="31"/>
      <c r="J189" s="13"/>
    </row>
    <row r="190">
      <c r="A190" s="34"/>
      <c r="B190" s="34"/>
      <c r="C190" s="35"/>
      <c r="D190" s="34"/>
      <c r="E190" s="36"/>
      <c r="F190" s="10"/>
      <c r="H190" s="52" t="s">
        <v>208</v>
      </c>
      <c r="I190" s="31"/>
      <c r="J190" s="13"/>
    </row>
    <row r="191">
      <c r="A191" s="34"/>
      <c r="B191" s="34"/>
      <c r="C191" s="35"/>
      <c r="D191" s="34"/>
      <c r="E191" s="36"/>
      <c r="F191" s="10"/>
      <c r="H191" s="52" t="s">
        <v>209</v>
      </c>
      <c r="I191" s="31"/>
      <c r="J191" s="13"/>
    </row>
    <row r="192">
      <c r="A192" s="34"/>
      <c r="B192" s="34"/>
      <c r="C192" s="35"/>
      <c r="D192" s="34"/>
      <c r="E192" s="53"/>
      <c r="F192" s="10"/>
      <c r="H192" s="52" t="s">
        <v>210</v>
      </c>
      <c r="I192" s="31"/>
      <c r="J192" s="13"/>
    </row>
    <row r="193">
      <c r="A193" s="34"/>
      <c r="B193" s="34"/>
      <c r="C193" s="35"/>
      <c r="D193" s="34"/>
      <c r="E193" s="36"/>
      <c r="F193" s="10"/>
      <c r="H193" s="52" t="s">
        <v>211</v>
      </c>
      <c r="I193" s="31"/>
      <c r="J193" s="13"/>
    </row>
    <row r="194">
      <c r="A194" s="34"/>
      <c r="B194" s="34"/>
      <c r="C194" s="35"/>
      <c r="D194" s="34"/>
      <c r="E194" s="36"/>
      <c r="F194" s="10"/>
      <c r="H194" s="52" t="s">
        <v>212</v>
      </c>
      <c r="I194" s="31"/>
      <c r="J194" s="13"/>
    </row>
    <row r="195">
      <c r="A195" s="34"/>
      <c r="B195" s="34"/>
      <c r="C195" s="35"/>
      <c r="D195" s="34"/>
      <c r="E195" s="36"/>
      <c r="F195" s="10"/>
      <c r="H195" s="52" t="s">
        <v>213</v>
      </c>
      <c r="I195" s="31"/>
      <c r="J195" s="13"/>
    </row>
    <row r="196">
      <c r="A196" s="34"/>
      <c r="B196" s="34"/>
      <c r="C196" s="35"/>
      <c r="D196" s="34"/>
      <c r="E196" s="36"/>
      <c r="F196" s="10"/>
      <c r="H196" s="52" t="s">
        <v>214</v>
      </c>
      <c r="I196" s="31"/>
      <c r="J196" s="13"/>
    </row>
    <row r="197">
      <c r="A197" s="34"/>
      <c r="B197" s="34"/>
      <c r="C197" s="35"/>
      <c r="D197" s="34"/>
      <c r="E197" s="36"/>
      <c r="F197" s="10"/>
      <c r="H197" s="52" t="s">
        <v>216</v>
      </c>
      <c r="I197" s="31"/>
      <c r="J197" s="13"/>
    </row>
    <row r="198">
      <c r="A198" s="34"/>
      <c r="B198" s="34"/>
      <c r="C198" s="35"/>
      <c r="D198" s="34"/>
      <c r="E198" s="36"/>
      <c r="F198" s="10"/>
      <c r="H198" s="52" t="s">
        <v>217</v>
      </c>
      <c r="I198" s="31"/>
      <c r="J198" s="13"/>
    </row>
    <row r="199">
      <c r="A199" s="34"/>
      <c r="B199" s="34"/>
      <c r="C199" s="35"/>
      <c r="D199" s="34"/>
      <c r="E199" s="36"/>
      <c r="F199" s="10"/>
      <c r="H199" s="52" t="s">
        <v>218</v>
      </c>
      <c r="I199" s="31"/>
      <c r="J199" s="13"/>
    </row>
    <row r="200">
      <c r="A200" s="34"/>
      <c r="B200" s="34"/>
      <c r="C200" s="35"/>
      <c r="D200" s="34"/>
      <c r="E200" s="36"/>
      <c r="F200" s="10"/>
      <c r="H200" s="52" t="s">
        <v>219</v>
      </c>
      <c r="I200" s="31"/>
      <c r="J200" s="13"/>
    </row>
    <row r="201">
      <c r="A201" s="34"/>
      <c r="B201" s="34"/>
      <c r="C201" s="35"/>
      <c r="D201" s="34"/>
      <c r="E201" s="36"/>
      <c r="F201" s="10"/>
      <c r="H201" s="52" t="s">
        <v>220</v>
      </c>
      <c r="I201" s="31"/>
      <c r="J201" s="13"/>
    </row>
    <row r="202">
      <c r="A202" s="34"/>
      <c r="B202" s="34"/>
      <c r="C202" s="35"/>
      <c r="D202" s="34"/>
      <c r="E202" s="36"/>
      <c r="F202" s="10"/>
      <c r="H202" s="52" t="s">
        <v>221</v>
      </c>
      <c r="I202" s="31"/>
      <c r="J202" s="13"/>
    </row>
    <row r="203">
      <c r="A203" s="34"/>
      <c r="B203" s="34"/>
      <c r="C203" s="35"/>
      <c r="D203" s="34"/>
      <c r="E203" s="36"/>
      <c r="F203" s="10"/>
      <c r="H203" s="52" t="s">
        <v>222</v>
      </c>
      <c r="I203" s="31"/>
      <c r="J203" s="13"/>
    </row>
    <row r="204">
      <c r="A204" s="34"/>
      <c r="B204" s="34"/>
      <c r="C204" s="35"/>
      <c r="D204" s="34"/>
      <c r="E204" s="36"/>
      <c r="F204" s="10"/>
      <c r="H204" s="52" t="s">
        <v>223</v>
      </c>
      <c r="I204" s="31"/>
      <c r="J204" s="13"/>
    </row>
    <row r="205">
      <c r="A205" s="34"/>
      <c r="B205" s="34"/>
      <c r="C205" s="35"/>
      <c r="D205" s="34"/>
      <c r="E205" s="36"/>
      <c r="F205" s="10"/>
      <c r="H205" s="52" t="s">
        <v>224</v>
      </c>
      <c r="I205" s="31"/>
      <c r="J205" s="13"/>
    </row>
    <row r="206">
      <c r="A206" s="34"/>
      <c r="B206" s="34"/>
      <c r="C206" s="35"/>
      <c r="D206" s="34"/>
      <c r="E206" s="36"/>
      <c r="F206" s="10"/>
      <c r="H206" s="52" t="s">
        <v>225</v>
      </c>
      <c r="I206" s="31"/>
      <c r="J206" s="13"/>
    </row>
    <row r="207">
      <c r="A207" s="34"/>
      <c r="B207" s="34"/>
      <c r="C207" s="35"/>
      <c r="D207" s="34"/>
      <c r="E207" s="36"/>
      <c r="F207" s="10"/>
      <c r="H207" s="52" t="s">
        <v>226</v>
      </c>
      <c r="I207" s="31"/>
      <c r="J207" s="13"/>
    </row>
    <row r="208">
      <c r="A208" s="34"/>
      <c r="B208" s="34"/>
      <c r="C208" s="35"/>
      <c r="D208" s="34"/>
      <c r="E208" s="53"/>
      <c r="F208" s="10"/>
      <c r="H208" s="52" t="s">
        <v>228</v>
      </c>
      <c r="I208" s="31"/>
      <c r="J208" s="13"/>
    </row>
    <row r="209">
      <c r="A209" s="34"/>
      <c r="B209" s="34"/>
      <c r="C209" s="35"/>
      <c r="D209" s="34"/>
      <c r="E209" s="53"/>
      <c r="F209" s="10"/>
      <c r="H209" s="52" t="s">
        <v>230</v>
      </c>
      <c r="I209" s="31"/>
      <c r="J209" s="13"/>
    </row>
    <row r="210">
      <c r="A210" s="34"/>
      <c r="B210" s="34"/>
      <c r="C210" s="35"/>
      <c r="D210" s="34"/>
      <c r="E210" s="36"/>
      <c r="F210" s="10"/>
      <c r="H210" s="52" t="s">
        <v>231</v>
      </c>
      <c r="I210" s="31"/>
      <c r="J210" s="13"/>
    </row>
    <row r="211">
      <c r="A211" s="34"/>
      <c r="B211" s="34"/>
      <c r="C211" s="35"/>
      <c r="D211" s="34"/>
      <c r="E211" s="53"/>
      <c r="F211" s="10"/>
      <c r="H211" s="52" t="s">
        <v>232</v>
      </c>
      <c r="I211" s="31"/>
      <c r="J211" s="13"/>
    </row>
    <row r="212">
      <c r="A212" s="34"/>
      <c r="B212" s="34"/>
      <c r="C212" s="35"/>
      <c r="D212" s="34"/>
      <c r="E212" s="53"/>
      <c r="F212" s="10"/>
      <c r="H212" s="52" t="s">
        <v>233</v>
      </c>
      <c r="I212" s="31"/>
      <c r="J212" s="13"/>
    </row>
    <row r="213">
      <c r="A213" s="34"/>
      <c r="B213" s="34"/>
      <c r="C213" s="35"/>
      <c r="D213" s="34"/>
      <c r="E213" s="53"/>
      <c r="F213" s="10"/>
      <c r="H213" s="52" t="s">
        <v>235</v>
      </c>
      <c r="I213" s="31"/>
      <c r="J213" s="13"/>
    </row>
    <row r="214">
      <c r="A214" s="34"/>
      <c r="B214" s="34"/>
      <c r="C214" s="35"/>
      <c r="D214" s="34"/>
      <c r="E214" s="53"/>
      <c r="F214" s="10"/>
      <c r="H214" s="52" t="s">
        <v>236</v>
      </c>
      <c r="I214" s="31"/>
      <c r="J214" s="13"/>
    </row>
    <row r="215">
      <c r="A215" s="34"/>
      <c r="B215" s="34"/>
      <c r="C215" s="35"/>
      <c r="D215" s="34"/>
      <c r="E215" s="53"/>
      <c r="F215" s="10"/>
      <c r="H215" s="52" t="s">
        <v>237</v>
      </c>
      <c r="I215" s="31"/>
      <c r="J215" s="13"/>
    </row>
    <row r="216">
      <c r="A216" s="34"/>
      <c r="B216" s="34"/>
      <c r="C216" s="35"/>
      <c r="D216" s="34"/>
      <c r="E216" s="53"/>
      <c r="F216" s="10"/>
      <c r="H216" s="52" t="s">
        <v>238</v>
      </c>
      <c r="I216" s="31"/>
      <c r="J216" s="13"/>
    </row>
    <row r="217">
      <c r="A217" s="34"/>
      <c r="B217" s="34"/>
      <c r="C217" s="35"/>
      <c r="D217" s="34"/>
      <c r="E217" s="53"/>
      <c r="F217" s="10"/>
      <c r="H217" s="52" t="s">
        <v>239</v>
      </c>
      <c r="I217" s="31"/>
      <c r="J217" s="13"/>
    </row>
    <row r="218">
      <c r="A218" s="34"/>
      <c r="B218" s="34"/>
      <c r="C218" s="35"/>
      <c r="D218" s="34"/>
      <c r="E218" s="53"/>
      <c r="F218" s="10"/>
      <c r="H218" s="52" t="s">
        <v>240</v>
      </c>
      <c r="I218" s="31"/>
      <c r="J218" s="13"/>
    </row>
    <row r="219">
      <c r="A219" s="34"/>
      <c r="B219" s="34"/>
      <c r="C219" s="35"/>
      <c r="D219" s="34"/>
      <c r="E219" s="53"/>
      <c r="F219" s="10"/>
      <c r="H219" s="52" t="s">
        <v>241</v>
      </c>
      <c r="I219" s="31"/>
      <c r="J219" s="13"/>
    </row>
    <row r="220">
      <c r="A220" s="34"/>
      <c r="B220" s="34"/>
      <c r="C220" s="35"/>
      <c r="D220" s="34"/>
      <c r="E220" s="36"/>
      <c r="F220" s="10"/>
      <c r="H220" s="52" t="s">
        <v>242</v>
      </c>
      <c r="I220" s="31"/>
      <c r="J220" s="13"/>
    </row>
    <row r="221">
      <c r="A221" s="34"/>
      <c r="B221" s="34"/>
      <c r="C221" s="35"/>
      <c r="D221" s="34"/>
      <c r="E221" s="36"/>
      <c r="F221" s="10"/>
      <c r="H221" s="52" t="s">
        <v>244</v>
      </c>
      <c r="I221" s="31"/>
      <c r="J221" s="13"/>
    </row>
    <row r="222">
      <c r="A222" s="34"/>
      <c r="B222" s="34"/>
      <c r="C222" s="35"/>
      <c r="D222" s="34"/>
      <c r="E222" s="36"/>
      <c r="F222" s="10"/>
      <c r="H222" s="52" t="s">
        <v>247</v>
      </c>
      <c r="I222" s="31"/>
      <c r="J222" s="13"/>
    </row>
    <row r="223">
      <c r="A223" s="34"/>
      <c r="B223" s="34"/>
      <c r="C223" s="35"/>
      <c r="D223" s="34"/>
      <c r="E223" s="36"/>
      <c r="F223" s="10"/>
      <c r="H223" s="52" t="s">
        <v>248</v>
      </c>
      <c r="I223" s="31"/>
      <c r="J223" s="13"/>
    </row>
    <row r="224">
      <c r="A224" s="34"/>
      <c r="B224" s="34"/>
      <c r="C224" s="35"/>
      <c r="D224" s="34"/>
      <c r="E224" s="36"/>
      <c r="F224" s="10"/>
      <c r="H224" s="52" t="s">
        <v>249</v>
      </c>
      <c r="I224" s="31"/>
      <c r="J224" s="13"/>
    </row>
    <row r="225">
      <c r="A225" s="34"/>
      <c r="B225" s="34"/>
      <c r="C225" s="35"/>
      <c r="D225" s="34"/>
      <c r="E225" s="53"/>
      <c r="F225" s="10"/>
      <c r="H225" s="52" t="s">
        <v>250</v>
      </c>
      <c r="I225" s="31"/>
      <c r="J225" s="13"/>
    </row>
    <row r="226">
      <c r="A226" s="34"/>
      <c r="B226" s="34"/>
      <c r="C226" s="35"/>
      <c r="D226" s="34"/>
      <c r="E226" s="36"/>
      <c r="F226" s="10"/>
      <c r="H226" s="52" t="s">
        <v>251</v>
      </c>
      <c r="I226" s="31"/>
      <c r="J226" s="13"/>
    </row>
    <row r="227">
      <c r="A227" s="34"/>
      <c r="B227" s="34"/>
      <c r="C227" s="35"/>
      <c r="D227" s="34"/>
      <c r="E227" s="36"/>
      <c r="F227" s="10"/>
      <c r="H227" s="52" t="s">
        <v>252</v>
      </c>
      <c r="I227" s="31"/>
      <c r="J227" s="13"/>
    </row>
    <row r="228">
      <c r="A228" s="34"/>
      <c r="B228" s="34"/>
      <c r="C228" s="35"/>
      <c r="D228" s="34"/>
      <c r="E228" s="36"/>
      <c r="F228" s="10"/>
      <c r="H228" s="52" t="s">
        <v>253</v>
      </c>
      <c r="I228" s="31"/>
      <c r="J228" s="13"/>
    </row>
    <row r="229">
      <c r="A229" s="34"/>
      <c r="B229" s="34"/>
      <c r="C229" s="35"/>
      <c r="D229" s="34"/>
      <c r="E229" s="36"/>
      <c r="F229" s="10"/>
      <c r="H229" s="52" t="s">
        <v>254</v>
      </c>
      <c r="I229" s="31"/>
      <c r="J229" s="13"/>
    </row>
    <row r="230">
      <c r="A230" s="34"/>
      <c r="B230" s="34"/>
      <c r="C230" s="35"/>
      <c r="D230" s="34"/>
      <c r="E230" s="36"/>
      <c r="F230" s="10"/>
      <c r="H230" s="52" t="s">
        <v>255</v>
      </c>
      <c r="I230" s="31"/>
      <c r="J230" s="13"/>
    </row>
    <row r="231">
      <c r="A231" s="34"/>
      <c r="B231" s="34"/>
      <c r="C231" s="35"/>
      <c r="D231" s="34"/>
      <c r="E231" s="36"/>
      <c r="F231" s="10"/>
      <c r="H231" s="52" t="s">
        <v>256</v>
      </c>
      <c r="I231" s="31"/>
      <c r="J231" s="13"/>
    </row>
    <row r="232">
      <c r="A232" s="34"/>
      <c r="B232" s="34"/>
      <c r="C232" s="35"/>
      <c r="D232" s="34"/>
      <c r="E232" s="36"/>
      <c r="F232" s="10"/>
      <c r="H232" s="52" t="s">
        <v>258</v>
      </c>
      <c r="I232" s="31"/>
      <c r="J232" s="13"/>
    </row>
    <row r="233">
      <c r="A233" s="34"/>
      <c r="B233" s="34"/>
      <c r="C233" s="35"/>
      <c r="D233" s="34"/>
      <c r="E233" s="36"/>
      <c r="F233" s="10"/>
      <c r="H233" s="52" t="s">
        <v>259</v>
      </c>
      <c r="I233" s="31"/>
      <c r="J233" s="13"/>
    </row>
    <row r="234">
      <c r="A234" s="34"/>
      <c r="B234" s="34"/>
      <c r="C234" s="35"/>
      <c r="D234" s="34"/>
      <c r="E234" s="36"/>
      <c r="F234" s="10"/>
      <c r="H234" s="52" t="s">
        <v>260</v>
      </c>
      <c r="I234" s="31"/>
      <c r="J234" s="13"/>
    </row>
    <row r="235">
      <c r="A235" s="34"/>
      <c r="B235" s="34"/>
      <c r="C235" s="35"/>
      <c r="D235" s="34"/>
      <c r="E235" s="36"/>
      <c r="F235" s="10"/>
      <c r="H235" s="52" t="s">
        <v>261</v>
      </c>
      <c r="I235" s="31"/>
      <c r="J235" s="13"/>
    </row>
    <row r="236">
      <c r="A236" s="34"/>
      <c r="B236" s="34"/>
      <c r="C236" s="35"/>
      <c r="D236" s="34"/>
      <c r="E236" s="36"/>
      <c r="F236" s="10"/>
      <c r="H236" s="52" t="s">
        <v>262</v>
      </c>
      <c r="I236" s="31"/>
      <c r="J236" s="13"/>
    </row>
    <row r="237">
      <c r="A237" s="34"/>
      <c r="B237" s="34"/>
      <c r="C237" s="35"/>
      <c r="D237" s="34"/>
      <c r="E237" s="36"/>
      <c r="F237" s="10"/>
      <c r="H237" s="52" t="s">
        <v>263</v>
      </c>
      <c r="I237" s="31"/>
      <c r="J237" s="13"/>
    </row>
    <row r="238">
      <c r="A238" s="34"/>
      <c r="B238" s="34"/>
      <c r="C238" s="35"/>
      <c r="D238" s="34"/>
      <c r="E238" s="36"/>
      <c r="F238" s="10"/>
      <c r="H238" s="52" t="s">
        <v>265</v>
      </c>
      <c r="I238" s="31"/>
      <c r="J238" s="13"/>
    </row>
    <row r="239">
      <c r="A239" s="34"/>
      <c r="B239" s="34"/>
      <c r="C239" s="35"/>
      <c r="D239" s="34"/>
      <c r="E239" s="36"/>
      <c r="F239" s="10"/>
      <c r="H239" s="52" t="s">
        <v>266</v>
      </c>
      <c r="I239" s="31"/>
      <c r="J239" s="13"/>
    </row>
    <row r="240">
      <c r="A240" s="34"/>
      <c r="B240" s="34"/>
      <c r="C240" s="35"/>
      <c r="D240" s="34"/>
      <c r="E240" s="36"/>
      <c r="F240" s="10"/>
      <c r="H240" s="52" t="s">
        <v>267</v>
      </c>
      <c r="I240" s="31"/>
      <c r="J240" s="13"/>
    </row>
    <row r="241">
      <c r="A241" s="34"/>
      <c r="B241" s="34"/>
      <c r="C241" s="35"/>
      <c r="D241" s="34"/>
      <c r="E241" s="36"/>
      <c r="F241" s="10"/>
      <c r="H241" s="52" t="s">
        <v>268</v>
      </c>
      <c r="I241" s="31"/>
      <c r="J241" s="13"/>
    </row>
    <row r="242">
      <c r="A242" s="34"/>
      <c r="B242" s="34"/>
      <c r="C242" s="35"/>
      <c r="D242" s="34"/>
      <c r="E242" s="36"/>
      <c r="F242" s="10"/>
      <c r="H242" s="52" t="s">
        <v>269</v>
      </c>
      <c r="I242" s="31"/>
      <c r="J242" s="13"/>
    </row>
    <row r="243">
      <c r="A243" s="34"/>
      <c r="B243" s="34"/>
      <c r="C243" s="35"/>
      <c r="D243" s="34"/>
      <c r="E243" s="36"/>
      <c r="F243" s="10"/>
      <c r="H243" s="52" t="s">
        <v>270</v>
      </c>
      <c r="I243" s="31"/>
      <c r="J243" s="13"/>
    </row>
    <row r="244">
      <c r="A244" s="34"/>
      <c r="B244" s="34"/>
      <c r="C244" s="35"/>
      <c r="D244" s="34"/>
      <c r="E244" s="36"/>
      <c r="F244" s="10"/>
      <c r="H244" s="52" t="s">
        <v>271</v>
      </c>
      <c r="I244" s="31"/>
      <c r="J244" s="13"/>
    </row>
    <row r="245">
      <c r="A245" s="34"/>
      <c r="B245" s="34"/>
      <c r="C245" s="35"/>
      <c r="D245" s="34"/>
      <c r="E245" s="36"/>
      <c r="F245" s="10"/>
      <c r="H245" s="52" t="s">
        <v>272</v>
      </c>
      <c r="I245" s="31"/>
      <c r="J245" s="13"/>
    </row>
    <row r="246">
      <c r="A246" s="34"/>
      <c r="B246" s="34"/>
      <c r="C246" s="35"/>
      <c r="D246" s="34"/>
      <c r="E246" s="36"/>
      <c r="F246" s="10"/>
      <c r="H246" s="52" t="s">
        <v>274</v>
      </c>
      <c r="I246" s="31"/>
      <c r="J246" s="13"/>
    </row>
    <row r="247">
      <c r="A247" s="34"/>
      <c r="B247" s="34"/>
      <c r="C247" s="35"/>
      <c r="D247" s="34"/>
      <c r="E247" s="36"/>
      <c r="F247" s="10"/>
      <c r="H247" s="52" t="s">
        <v>276</v>
      </c>
      <c r="I247" s="31"/>
      <c r="J247" s="13"/>
    </row>
    <row r="248">
      <c r="A248" s="34"/>
      <c r="B248" s="34"/>
      <c r="C248" s="35"/>
      <c r="D248" s="34"/>
      <c r="E248" s="36"/>
      <c r="F248" s="10"/>
      <c r="H248" s="52" t="s">
        <v>277</v>
      </c>
      <c r="I248" s="31"/>
      <c r="J248" s="13"/>
    </row>
    <row r="249">
      <c r="A249" s="34"/>
      <c r="B249" s="34"/>
      <c r="C249" s="35"/>
      <c r="D249" s="34"/>
      <c r="E249" s="36"/>
      <c r="F249" s="10"/>
      <c r="H249" s="52" t="s">
        <v>278</v>
      </c>
      <c r="I249" s="31"/>
      <c r="J249" s="13"/>
    </row>
    <row r="250">
      <c r="A250" s="34"/>
      <c r="B250" s="34"/>
      <c r="C250" s="35"/>
      <c r="D250" s="34"/>
      <c r="E250" s="36"/>
      <c r="F250" s="10"/>
      <c r="H250" s="52" t="s">
        <v>279</v>
      </c>
      <c r="I250" s="31"/>
      <c r="J250" s="13"/>
    </row>
    <row r="251">
      <c r="A251" s="34"/>
      <c r="B251" s="34"/>
      <c r="C251" s="35"/>
      <c r="D251" s="34"/>
      <c r="E251" s="36"/>
      <c r="F251" s="10"/>
      <c r="H251" s="52" t="s">
        <v>280</v>
      </c>
      <c r="I251" s="31"/>
      <c r="J251" s="13"/>
    </row>
    <row r="252">
      <c r="A252" s="34"/>
      <c r="B252" s="34"/>
      <c r="C252" s="35"/>
      <c r="D252" s="34"/>
      <c r="E252" s="36"/>
      <c r="F252" s="10"/>
      <c r="H252" s="52" t="s">
        <v>281</v>
      </c>
      <c r="I252" s="31"/>
      <c r="J252" s="13"/>
    </row>
    <row r="253">
      <c r="A253" s="34"/>
      <c r="B253" s="34"/>
      <c r="C253" s="35"/>
      <c r="D253" s="34"/>
      <c r="E253" s="36"/>
      <c r="F253" s="10"/>
      <c r="H253" s="52" t="s">
        <v>282</v>
      </c>
      <c r="I253" s="31"/>
      <c r="J253" s="13"/>
    </row>
    <row r="254">
      <c r="A254" s="34"/>
      <c r="B254" s="34"/>
      <c r="C254" s="35"/>
      <c r="D254" s="34"/>
      <c r="E254" s="36"/>
      <c r="F254" s="10"/>
      <c r="H254" s="52" t="s">
        <v>283</v>
      </c>
      <c r="I254" s="31"/>
      <c r="J254" s="13"/>
    </row>
    <row r="255">
      <c r="A255" s="34"/>
      <c r="B255" s="34"/>
      <c r="C255" s="35"/>
      <c r="D255" s="34"/>
      <c r="E255" s="36"/>
      <c r="F255" s="10"/>
      <c r="H255" s="52" t="s">
        <v>284</v>
      </c>
      <c r="I255" s="31"/>
      <c r="J255" s="13"/>
    </row>
    <row r="256">
      <c r="A256" s="34"/>
      <c r="B256" s="34"/>
      <c r="C256" s="35"/>
      <c r="D256" s="34"/>
      <c r="E256" s="36"/>
      <c r="F256" s="10"/>
      <c r="H256" s="52" t="s">
        <v>285</v>
      </c>
      <c r="I256" s="31"/>
      <c r="J256" s="13"/>
    </row>
    <row r="257">
      <c r="A257" s="34"/>
      <c r="B257" s="34"/>
      <c r="C257" s="35"/>
      <c r="D257" s="34"/>
      <c r="E257" s="36"/>
      <c r="F257" s="10"/>
      <c r="H257" s="52" t="s">
        <v>286</v>
      </c>
      <c r="I257" s="31"/>
      <c r="J257" s="13"/>
    </row>
    <row r="258">
      <c r="A258" s="34"/>
      <c r="B258" s="34"/>
      <c r="C258" s="35"/>
      <c r="D258" s="34"/>
      <c r="E258" s="36"/>
      <c r="F258" s="10"/>
      <c r="H258" s="52" t="s">
        <v>287</v>
      </c>
      <c r="I258" s="31"/>
      <c r="J258" s="13"/>
    </row>
    <row r="259">
      <c r="A259" s="34"/>
      <c r="B259" s="34"/>
      <c r="C259" s="35"/>
      <c r="D259" s="34"/>
      <c r="E259" s="64"/>
      <c r="F259" s="10"/>
      <c r="H259" s="52" t="s">
        <v>288</v>
      </c>
      <c r="I259" s="31"/>
      <c r="J259" s="13"/>
    </row>
    <row r="260">
      <c r="A260" s="34"/>
      <c r="B260" s="34"/>
      <c r="C260" s="35"/>
      <c r="D260" s="34"/>
      <c r="E260" s="64"/>
      <c r="F260" s="10"/>
      <c r="H260" s="52" t="s">
        <v>289</v>
      </c>
      <c r="I260" s="31"/>
      <c r="J260" s="13"/>
    </row>
    <row r="261">
      <c r="A261" s="34"/>
      <c r="B261" s="34"/>
      <c r="C261" s="35"/>
      <c r="D261" s="34"/>
      <c r="E261" s="64"/>
      <c r="F261" s="10"/>
      <c r="H261" s="52" t="s">
        <v>290</v>
      </c>
      <c r="I261" s="31"/>
      <c r="J261" s="13"/>
    </row>
    <row r="262">
      <c r="A262" s="34"/>
      <c r="B262" s="34"/>
      <c r="C262" s="35"/>
      <c r="D262" s="34"/>
      <c r="E262" s="36"/>
      <c r="F262" s="10"/>
      <c r="H262" s="52" t="s">
        <v>291</v>
      </c>
      <c r="I262" s="31"/>
      <c r="J262" s="13"/>
    </row>
    <row r="263">
      <c r="A263" s="34"/>
      <c r="B263" s="34"/>
      <c r="C263" s="35"/>
      <c r="D263" s="34"/>
      <c r="E263" s="36"/>
      <c r="F263" s="10"/>
      <c r="H263" s="52" t="s">
        <v>293</v>
      </c>
      <c r="I263" s="31"/>
      <c r="J263" s="13"/>
    </row>
    <row r="264">
      <c r="A264" s="34"/>
      <c r="B264" s="34"/>
      <c r="C264" s="35"/>
      <c r="D264" s="34"/>
      <c r="E264" s="64"/>
      <c r="F264" s="10"/>
      <c r="H264" s="52" t="s">
        <v>294</v>
      </c>
      <c r="I264" s="31"/>
      <c r="J264" s="13"/>
    </row>
    <row r="265">
      <c r="A265" s="34"/>
      <c r="B265" s="34"/>
      <c r="C265" s="35"/>
      <c r="D265" s="34"/>
      <c r="E265" s="53"/>
      <c r="F265" s="10"/>
      <c r="H265" s="52" t="s">
        <v>295</v>
      </c>
      <c r="I265" s="31"/>
      <c r="J265" s="13"/>
    </row>
    <row r="266">
      <c r="A266" s="34"/>
      <c r="B266" s="34"/>
      <c r="C266" s="35"/>
      <c r="D266" s="34"/>
      <c r="E266" s="36"/>
      <c r="F266" s="10"/>
      <c r="H266" s="52" t="s">
        <v>296</v>
      </c>
      <c r="I266" s="31"/>
      <c r="J266" s="13"/>
    </row>
    <row r="267">
      <c r="A267" s="34"/>
      <c r="B267" s="34"/>
      <c r="C267" s="35"/>
      <c r="D267" s="34"/>
      <c r="E267" s="36"/>
      <c r="F267" s="10"/>
      <c r="H267" s="52" t="s">
        <v>297</v>
      </c>
      <c r="I267" s="31"/>
      <c r="J267" s="13"/>
    </row>
    <row r="268">
      <c r="A268" s="34"/>
      <c r="B268" s="34"/>
      <c r="C268" s="35"/>
      <c r="D268" s="34"/>
      <c r="E268" s="36"/>
      <c r="F268" s="10"/>
      <c r="H268" s="52" t="s">
        <v>298</v>
      </c>
      <c r="I268" s="31"/>
      <c r="J268" s="13"/>
    </row>
    <row r="269">
      <c r="A269" s="34"/>
      <c r="B269" s="34"/>
      <c r="C269" s="35"/>
      <c r="D269" s="34"/>
      <c r="E269" s="36"/>
      <c r="F269" s="10"/>
      <c r="H269" s="52" t="s">
        <v>299</v>
      </c>
      <c r="I269" s="31"/>
      <c r="J269" s="13"/>
    </row>
    <row r="270">
      <c r="A270" s="34"/>
      <c r="B270" s="34"/>
      <c r="C270" s="35"/>
      <c r="D270" s="34"/>
      <c r="E270" s="36"/>
      <c r="F270" s="10"/>
      <c r="H270" s="52" t="s">
        <v>300</v>
      </c>
      <c r="I270" s="31"/>
      <c r="J270" s="13"/>
    </row>
    <row r="271">
      <c r="A271" s="34"/>
      <c r="B271" s="34"/>
      <c r="C271" s="35"/>
      <c r="D271" s="34"/>
      <c r="E271" s="36"/>
      <c r="F271" s="10"/>
      <c r="H271" s="52" t="s">
        <v>301</v>
      </c>
      <c r="I271" s="31"/>
      <c r="J271" s="13"/>
    </row>
    <row r="272">
      <c r="A272" s="68"/>
      <c r="B272" s="68"/>
      <c r="C272" s="35"/>
      <c r="D272" s="68"/>
      <c r="E272" s="36"/>
      <c r="F272" s="10"/>
      <c r="H272" s="52" t="s">
        <v>302</v>
      </c>
      <c r="I272" s="31"/>
      <c r="J272" s="13"/>
    </row>
    <row r="273">
      <c r="A273" s="34"/>
      <c r="B273" s="34"/>
      <c r="C273" s="35"/>
      <c r="D273" s="34"/>
      <c r="E273" s="36"/>
      <c r="F273" s="10"/>
      <c r="H273" s="52" t="s">
        <v>303</v>
      </c>
      <c r="I273" s="31"/>
      <c r="J273" s="13"/>
    </row>
    <row r="274">
      <c r="A274" s="68"/>
      <c r="B274" s="68"/>
      <c r="C274" s="35"/>
      <c r="D274" s="68"/>
      <c r="E274" s="36"/>
      <c r="F274" s="10"/>
      <c r="H274" s="52" t="s">
        <v>304</v>
      </c>
      <c r="I274" s="31"/>
      <c r="J274" s="13"/>
    </row>
    <row r="275">
      <c r="A275" s="34"/>
      <c r="B275" s="34"/>
      <c r="C275" s="35"/>
      <c r="D275" s="34"/>
      <c r="E275" s="36"/>
      <c r="F275" s="10"/>
      <c r="H275" s="52" t="s">
        <v>305</v>
      </c>
      <c r="I275" s="31"/>
      <c r="J275" s="13"/>
    </row>
    <row r="276">
      <c r="A276" s="34"/>
      <c r="B276" s="34"/>
      <c r="C276" s="35"/>
      <c r="D276" s="34"/>
      <c r="E276" s="36"/>
      <c r="F276" s="10"/>
      <c r="H276" s="52" t="s">
        <v>306</v>
      </c>
      <c r="I276" s="31"/>
      <c r="J276" s="13"/>
    </row>
    <row r="277">
      <c r="A277" s="34"/>
      <c r="B277" s="34"/>
      <c r="C277" s="35"/>
      <c r="D277" s="34"/>
      <c r="E277" s="36"/>
      <c r="F277" s="10"/>
      <c r="H277" s="52" t="s">
        <v>307</v>
      </c>
      <c r="I277" s="31"/>
      <c r="J277" s="13"/>
    </row>
    <row r="278">
      <c r="A278" s="34"/>
      <c r="B278" s="34"/>
      <c r="C278" s="35"/>
      <c r="D278" s="34"/>
      <c r="E278" s="36"/>
      <c r="F278" s="10"/>
      <c r="H278" s="52" t="s">
        <v>308</v>
      </c>
      <c r="I278" s="31"/>
      <c r="J278" s="13"/>
    </row>
    <row r="279">
      <c r="A279" s="34"/>
      <c r="B279" s="34"/>
      <c r="C279" s="35"/>
      <c r="D279" s="34"/>
      <c r="E279" s="36"/>
      <c r="F279" s="10"/>
      <c r="H279" s="52" t="s">
        <v>309</v>
      </c>
      <c r="I279" s="31"/>
      <c r="J279" s="13"/>
    </row>
    <row r="280">
      <c r="A280" s="34"/>
      <c r="B280" s="34"/>
      <c r="C280" s="35"/>
      <c r="D280" s="34"/>
      <c r="E280" s="36"/>
      <c r="F280" s="10"/>
      <c r="H280" s="52" t="s">
        <v>311</v>
      </c>
      <c r="I280" s="31"/>
      <c r="J280" s="13"/>
    </row>
    <row r="281">
      <c r="A281" s="34"/>
      <c r="B281" s="34"/>
      <c r="C281" s="35"/>
      <c r="D281" s="34"/>
      <c r="E281" s="36"/>
      <c r="F281" s="10"/>
      <c r="H281" s="52" t="s">
        <v>312</v>
      </c>
      <c r="I281" s="31"/>
      <c r="J281" s="13"/>
    </row>
    <row r="282">
      <c r="A282" s="34"/>
      <c r="B282" s="34"/>
      <c r="C282" s="35"/>
      <c r="D282" s="34"/>
      <c r="E282" s="36"/>
      <c r="F282" s="10"/>
      <c r="H282" s="52" t="s">
        <v>313</v>
      </c>
      <c r="I282" s="31"/>
      <c r="J282" s="13"/>
    </row>
    <row r="283">
      <c r="A283" s="34"/>
      <c r="B283" s="34"/>
      <c r="C283" s="35"/>
      <c r="D283" s="34"/>
      <c r="E283" s="36"/>
      <c r="F283" s="10"/>
      <c r="H283" s="52" t="s">
        <v>314</v>
      </c>
      <c r="I283" s="31"/>
      <c r="J283" s="13"/>
    </row>
    <row r="284">
      <c r="A284" s="34"/>
      <c r="B284" s="34"/>
      <c r="C284" s="35"/>
      <c r="D284" s="34"/>
      <c r="E284" s="36"/>
      <c r="F284" s="10"/>
      <c r="H284" s="52" t="s">
        <v>315</v>
      </c>
      <c r="I284" s="31"/>
      <c r="J284" s="13"/>
    </row>
    <row r="285">
      <c r="A285" s="34"/>
      <c r="B285" s="34"/>
      <c r="C285" s="35"/>
      <c r="D285" s="34"/>
      <c r="E285" s="36"/>
      <c r="F285" s="10"/>
      <c r="H285" s="52" t="s">
        <v>316</v>
      </c>
      <c r="I285" s="31"/>
      <c r="J285" s="13"/>
    </row>
    <row r="286">
      <c r="A286" s="34"/>
      <c r="B286" s="34"/>
      <c r="C286" s="35"/>
      <c r="D286" s="34"/>
      <c r="E286" s="36"/>
      <c r="F286" s="10"/>
      <c r="H286" s="52" t="s">
        <v>317</v>
      </c>
      <c r="I286" s="31"/>
      <c r="J286" s="13"/>
    </row>
    <row r="287">
      <c r="A287" s="34"/>
      <c r="B287" s="34"/>
      <c r="C287" s="35"/>
      <c r="D287" s="34"/>
      <c r="E287" s="36"/>
      <c r="F287" s="10"/>
      <c r="H287" s="52" t="s">
        <v>318</v>
      </c>
      <c r="I287" s="31"/>
      <c r="J287" s="13"/>
    </row>
    <row r="288">
      <c r="A288" s="34"/>
      <c r="B288" s="34"/>
      <c r="C288" s="35"/>
      <c r="D288" s="34"/>
      <c r="E288" s="36"/>
      <c r="F288" s="10"/>
      <c r="H288" s="52" t="s">
        <v>319</v>
      </c>
      <c r="I288" s="31"/>
      <c r="J288" s="13"/>
    </row>
    <row r="289">
      <c r="A289" s="34"/>
      <c r="B289" s="34"/>
      <c r="C289" s="35"/>
      <c r="D289" s="34"/>
      <c r="E289" s="36"/>
      <c r="F289" s="10"/>
      <c r="H289" s="52" t="s">
        <v>320</v>
      </c>
      <c r="I289" s="31"/>
      <c r="J289" s="13"/>
    </row>
    <row r="290">
      <c r="A290" s="34"/>
      <c r="B290" s="34"/>
      <c r="C290" s="35"/>
      <c r="D290" s="34"/>
      <c r="E290" s="36"/>
      <c r="F290" s="10"/>
      <c r="H290" s="52" t="s">
        <v>321</v>
      </c>
      <c r="I290" s="31"/>
      <c r="J290" s="13"/>
    </row>
    <row r="291">
      <c r="A291" s="34"/>
      <c r="B291" s="34"/>
      <c r="C291" s="35"/>
      <c r="D291" s="34"/>
      <c r="E291" s="36"/>
      <c r="F291" s="10"/>
      <c r="H291" s="52" t="s">
        <v>322</v>
      </c>
      <c r="I291" s="31"/>
      <c r="J291" s="13"/>
    </row>
    <row r="292">
      <c r="A292" s="34"/>
      <c r="B292" s="34"/>
      <c r="C292" s="35"/>
      <c r="D292" s="34"/>
      <c r="E292" s="33"/>
      <c r="F292" s="10"/>
      <c r="H292" s="52" t="s">
        <v>323</v>
      </c>
      <c r="I292" s="31"/>
      <c r="J292" s="13"/>
    </row>
    <row r="293">
      <c r="A293" s="34"/>
      <c r="B293" s="34"/>
      <c r="C293" s="35"/>
      <c r="D293" s="34"/>
      <c r="E293" s="36"/>
      <c r="F293" s="10"/>
      <c r="H293" s="52" t="s">
        <v>324</v>
      </c>
      <c r="I293" s="31"/>
      <c r="J293" s="13"/>
    </row>
    <row r="294">
      <c r="A294" s="34"/>
      <c r="B294" s="34"/>
      <c r="C294" s="35"/>
      <c r="D294" s="34"/>
      <c r="E294" s="36"/>
      <c r="F294" s="10"/>
      <c r="H294" s="52" t="s">
        <v>325</v>
      </c>
      <c r="I294" s="31"/>
      <c r="J294" s="13"/>
    </row>
    <row r="295">
      <c r="A295" s="34"/>
      <c r="B295" s="34"/>
      <c r="C295" s="35"/>
      <c r="D295" s="34"/>
      <c r="E295" s="36"/>
      <c r="F295" s="10"/>
      <c r="H295" s="52" t="s">
        <v>326</v>
      </c>
      <c r="I295" s="31"/>
      <c r="J295" s="13"/>
    </row>
    <row r="296">
      <c r="A296" s="34"/>
      <c r="B296" s="34"/>
      <c r="C296" s="35"/>
      <c r="D296" s="34"/>
      <c r="E296" s="36"/>
      <c r="F296" s="10"/>
      <c r="H296" s="52" t="s">
        <v>328</v>
      </c>
      <c r="I296" s="31"/>
      <c r="J296" s="13"/>
    </row>
    <row r="297">
      <c r="A297" s="34"/>
      <c r="B297" s="34"/>
      <c r="C297" s="35"/>
      <c r="D297" s="34"/>
      <c r="E297" s="36"/>
      <c r="F297" s="10"/>
      <c r="H297" s="52" t="s">
        <v>329</v>
      </c>
      <c r="I297" s="31"/>
      <c r="J297" s="13"/>
    </row>
    <row r="298">
      <c r="A298" s="34"/>
      <c r="B298" s="34"/>
      <c r="C298" s="35"/>
      <c r="D298" s="34"/>
      <c r="E298" s="36"/>
      <c r="F298" s="10"/>
      <c r="H298" s="52" t="s">
        <v>330</v>
      </c>
      <c r="I298" s="31"/>
      <c r="J298" s="13"/>
    </row>
    <row r="299">
      <c r="A299" s="34"/>
      <c r="B299" s="34"/>
      <c r="C299" s="35"/>
      <c r="D299" s="34"/>
      <c r="E299" s="36"/>
      <c r="F299" s="10"/>
      <c r="H299" s="52" t="s">
        <v>331</v>
      </c>
      <c r="I299" s="31"/>
      <c r="J299" s="13"/>
    </row>
    <row r="300">
      <c r="A300" s="34"/>
      <c r="B300" s="34"/>
      <c r="C300" s="35"/>
      <c r="D300" s="34"/>
      <c r="E300" s="36"/>
      <c r="F300" s="10"/>
      <c r="H300" s="52" t="s">
        <v>332</v>
      </c>
      <c r="I300" s="31"/>
      <c r="J300" s="13"/>
    </row>
    <row r="301">
      <c r="A301" s="34"/>
      <c r="B301" s="34"/>
      <c r="C301" s="35"/>
      <c r="D301" s="34"/>
      <c r="E301" s="36"/>
      <c r="F301" s="10"/>
      <c r="H301" s="52" t="s">
        <v>333</v>
      </c>
      <c r="I301" s="31"/>
      <c r="J301" s="13"/>
    </row>
    <row r="302">
      <c r="A302" s="34"/>
      <c r="B302" s="34"/>
      <c r="C302" s="35"/>
      <c r="D302" s="34"/>
      <c r="E302" s="36"/>
      <c r="F302" s="10"/>
      <c r="H302" s="52" t="s">
        <v>334</v>
      </c>
      <c r="I302" s="31"/>
      <c r="J302" s="13"/>
    </row>
    <row r="303">
      <c r="A303" s="68"/>
      <c r="B303" s="68"/>
      <c r="C303" s="35"/>
      <c r="D303" s="68"/>
      <c r="E303" s="36"/>
      <c r="F303" s="10"/>
      <c r="H303" s="52" t="s">
        <v>335</v>
      </c>
      <c r="I303" s="31"/>
      <c r="J303" s="13"/>
    </row>
    <row r="304">
      <c r="A304" s="68"/>
      <c r="B304" s="68"/>
      <c r="C304" s="35"/>
      <c r="D304" s="68"/>
      <c r="E304" s="36"/>
      <c r="F304" s="10"/>
      <c r="H304" s="52" t="s">
        <v>336</v>
      </c>
      <c r="I304" s="31"/>
      <c r="J304" s="13"/>
    </row>
    <row r="305">
      <c r="A305" s="34"/>
      <c r="B305" s="34"/>
      <c r="C305" s="35"/>
      <c r="D305" s="34"/>
      <c r="E305" s="36"/>
      <c r="F305" s="10"/>
      <c r="H305" s="52" t="s">
        <v>337</v>
      </c>
      <c r="I305" s="31"/>
      <c r="J305" s="13"/>
    </row>
    <row r="306">
      <c r="A306" s="68"/>
      <c r="B306" s="68"/>
      <c r="C306" s="35"/>
      <c r="D306" s="68"/>
      <c r="E306" s="36"/>
      <c r="F306" s="10"/>
      <c r="H306" s="52" t="s">
        <v>338</v>
      </c>
      <c r="I306" s="31"/>
      <c r="J306" s="13"/>
    </row>
    <row r="307">
      <c r="A307" s="34"/>
      <c r="B307" s="34"/>
      <c r="C307" s="35"/>
      <c r="D307" s="34"/>
      <c r="E307" s="36"/>
      <c r="F307" s="10"/>
      <c r="H307" s="52" t="s">
        <v>339</v>
      </c>
      <c r="I307" s="31"/>
      <c r="J307" s="13"/>
    </row>
    <row r="308">
      <c r="A308" s="34"/>
      <c r="B308" s="34"/>
      <c r="C308" s="35"/>
      <c r="D308" s="34"/>
      <c r="E308" s="36"/>
      <c r="F308" s="10"/>
      <c r="H308" s="52" t="s">
        <v>340</v>
      </c>
      <c r="I308" s="31"/>
      <c r="J308" s="13"/>
    </row>
    <row r="309">
      <c r="A309" s="34"/>
      <c r="B309" s="34"/>
      <c r="C309" s="35"/>
      <c r="D309" s="34"/>
      <c r="E309" s="36"/>
      <c r="F309" s="10"/>
      <c r="H309" s="52" t="s">
        <v>341</v>
      </c>
      <c r="I309" s="31"/>
      <c r="J309" s="13"/>
    </row>
    <row r="310">
      <c r="A310" s="34"/>
      <c r="B310" s="34"/>
      <c r="C310" s="35"/>
      <c r="D310" s="34"/>
      <c r="E310" s="36"/>
      <c r="F310" s="10"/>
      <c r="H310" s="52" t="s">
        <v>343</v>
      </c>
      <c r="I310" s="31"/>
      <c r="J310" s="13"/>
    </row>
    <row r="311">
      <c r="A311" s="34"/>
      <c r="B311" s="34"/>
      <c r="C311" s="35"/>
      <c r="D311" s="34"/>
      <c r="E311" s="36"/>
      <c r="F311" s="10"/>
      <c r="H311" s="52" t="s">
        <v>344</v>
      </c>
      <c r="I311" s="31"/>
      <c r="J311" s="13"/>
    </row>
    <row r="312">
      <c r="A312" s="34"/>
      <c r="B312" s="34"/>
      <c r="C312" s="35"/>
      <c r="D312" s="34"/>
      <c r="E312" s="36"/>
      <c r="F312" s="10"/>
      <c r="H312" s="52" t="s">
        <v>345</v>
      </c>
      <c r="I312" s="31"/>
      <c r="J312" s="13"/>
    </row>
    <row r="313">
      <c r="A313" s="34"/>
      <c r="B313" s="34"/>
      <c r="C313" s="35"/>
      <c r="D313" s="34"/>
      <c r="E313" s="36"/>
      <c r="F313" s="10"/>
      <c r="H313" s="52" t="s">
        <v>346</v>
      </c>
      <c r="I313" s="31"/>
      <c r="J313" s="13"/>
    </row>
    <row r="314">
      <c r="A314" s="34"/>
      <c r="B314" s="34"/>
      <c r="C314" s="35"/>
      <c r="D314" s="34"/>
      <c r="E314" s="36"/>
      <c r="F314" s="10"/>
      <c r="H314" s="52" t="s">
        <v>347</v>
      </c>
      <c r="I314" s="31"/>
      <c r="J314" s="13"/>
    </row>
    <row r="315">
      <c r="A315" s="34"/>
      <c r="B315" s="34"/>
      <c r="C315" s="35"/>
      <c r="D315" s="34"/>
      <c r="E315" s="36"/>
      <c r="F315" s="10"/>
      <c r="H315" s="52" t="s">
        <v>348</v>
      </c>
      <c r="I315" s="31"/>
      <c r="J315" s="13"/>
    </row>
    <row r="316">
      <c r="A316" s="34"/>
      <c r="B316" s="34"/>
      <c r="C316" s="35"/>
      <c r="D316" s="34"/>
      <c r="E316" s="36"/>
      <c r="F316" s="10"/>
      <c r="H316" s="52" t="s">
        <v>349</v>
      </c>
      <c r="I316" s="31"/>
      <c r="J316" s="13"/>
    </row>
    <row r="317">
      <c r="A317" s="34"/>
      <c r="B317" s="34"/>
      <c r="C317" s="35"/>
      <c r="D317" s="34"/>
      <c r="E317" s="36"/>
      <c r="F317" s="10"/>
      <c r="H317" s="52" t="s">
        <v>350</v>
      </c>
      <c r="I317" s="31"/>
      <c r="J317" s="13"/>
    </row>
    <row r="318">
      <c r="A318" s="34"/>
      <c r="B318" s="34"/>
      <c r="C318" s="35"/>
      <c r="D318" s="34"/>
      <c r="E318" s="36"/>
      <c r="F318" s="10"/>
      <c r="H318" s="52" t="s">
        <v>351</v>
      </c>
      <c r="I318" s="31"/>
      <c r="J318" s="13"/>
    </row>
    <row r="319">
      <c r="A319" s="68"/>
      <c r="B319" s="68"/>
      <c r="C319" s="29"/>
      <c r="D319" s="68"/>
      <c r="E319" s="36"/>
      <c r="F319" s="10"/>
      <c r="H319" s="52" t="s">
        <v>353</v>
      </c>
      <c r="I319" s="31"/>
      <c r="J319" s="13"/>
    </row>
    <row r="320">
      <c r="A320" s="34"/>
      <c r="B320" s="34"/>
      <c r="C320" s="35"/>
      <c r="D320" s="34"/>
      <c r="E320" s="36"/>
      <c r="F320" s="10"/>
      <c r="H320" s="52" t="s">
        <v>354</v>
      </c>
      <c r="I320" s="31"/>
      <c r="J320" s="13"/>
    </row>
    <row r="321">
      <c r="A321" s="34"/>
      <c r="B321" s="34"/>
      <c r="C321" s="35"/>
      <c r="D321" s="34"/>
      <c r="E321" s="36"/>
      <c r="F321" s="10"/>
      <c r="H321" s="52" t="s">
        <v>355</v>
      </c>
      <c r="I321" s="31"/>
      <c r="J321" s="13"/>
    </row>
    <row r="322">
      <c r="A322" s="34"/>
      <c r="B322" s="34"/>
      <c r="C322" s="35"/>
      <c r="D322" s="34"/>
      <c r="E322" s="36"/>
      <c r="F322" s="10"/>
      <c r="H322" s="52" t="s">
        <v>356</v>
      </c>
      <c r="I322" s="31"/>
      <c r="J322" s="13"/>
    </row>
    <row r="323">
      <c r="A323" s="34"/>
      <c r="B323" s="34"/>
      <c r="C323" s="35"/>
      <c r="D323" s="34"/>
      <c r="E323" s="36"/>
      <c r="F323" s="10"/>
      <c r="H323" s="52" t="s">
        <v>357</v>
      </c>
      <c r="I323" s="31"/>
      <c r="J323" s="13"/>
    </row>
    <row r="324">
      <c r="A324" s="34"/>
      <c r="B324" s="34"/>
      <c r="C324" s="35"/>
      <c r="D324" s="34"/>
      <c r="E324" s="36"/>
      <c r="F324" s="10"/>
      <c r="H324" s="52" t="s">
        <v>358</v>
      </c>
      <c r="I324" s="31"/>
      <c r="J324" s="13"/>
    </row>
    <row r="325">
      <c r="A325" s="34"/>
      <c r="B325" s="34"/>
      <c r="C325" s="35"/>
      <c r="D325" s="34"/>
      <c r="E325" s="36"/>
      <c r="F325" s="10"/>
      <c r="H325" s="52" t="s">
        <v>359</v>
      </c>
      <c r="I325" s="31"/>
      <c r="J325" s="13"/>
    </row>
    <row r="326">
      <c r="A326" s="34"/>
      <c r="B326" s="34"/>
      <c r="C326" s="35"/>
      <c r="D326" s="34"/>
      <c r="E326" s="36"/>
      <c r="F326" s="10"/>
      <c r="H326" s="52" t="s">
        <v>360</v>
      </c>
      <c r="I326" s="31"/>
      <c r="J326" s="13"/>
    </row>
    <row r="327">
      <c r="A327" s="34"/>
      <c r="B327" s="34"/>
      <c r="C327" s="35"/>
      <c r="D327" s="34"/>
      <c r="E327" s="36"/>
      <c r="F327" s="10"/>
      <c r="H327" s="52" t="s">
        <v>361</v>
      </c>
      <c r="I327" s="31"/>
      <c r="J327" s="13"/>
    </row>
    <row r="328">
      <c r="A328" s="34"/>
      <c r="B328" s="34"/>
      <c r="C328" s="35"/>
      <c r="D328" s="34"/>
      <c r="E328" s="36"/>
      <c r="F328" s="10"/>
      <c r="H328" s="52" t="s">
        <v>362</v>
      </c>
      <c r="I328" s="31"/>
      <c r="J328" s="13"/>
    </row>
    <row r="329">
      <c r="A329" s="34"/>
      <c r="B329" s="34"/>
      <c r="C329" s="35"/>
      <c r="D329" s="34"/>
      <c r="E329" s="36"/>
      <c r="F329" s="10"/>
      <c r="H329" s="52" t="s">
        <v>363</v>
      </c>
      <c r="I329" s="31"/>
      <c r="J329" s="13"/>
    </row>
    <row r="330">
      <c r="A330" s="68"/>
      <c r="B330" s="68"/>
      <c r="C330" s="29"/>
      <c r="D330" s="68"/>
      <c r="E330" s="36"/>
      <c r="F330" s="10"/>
      <c r="H330" s="52" t="s">
        <v>364</v>
      </c>
      <c r="I330" s="31"/>
      <c r="J330" s="13"/>
    </row>
    <row r="331">
      <c r="A331" s="34"/>
      <c r="B331" s="34"/>
      <c r="C331" s="35"/>
      <c r="D331" s="34"/>
      <c r="E331" s="36"/>
      <c r="F331" s="10"/>
      <c r="H331" s="52" t="s">
        <v>365</v>
      </c>
      <c r="I331" s="31"/>
      <c r="J331" s="13"/>
    </row>
    <row r="332">
      <c r="A332" s="34"/>
      <c r="B332" s="34"/>
      <c r="C332" s="35"/>
      <c r="D332" s="34"/>
      <c r="E332" s="36"/>
      <c r="F332" s="10"/>
      <c r="H332" s="52" t="s">
        <v>366</v>
      </c>
      <c r="I332" s="31"/>
      <c r="J332" s="13"/>
    </row>
    <row r="333">
      <c r="A333" s="34"/>
      <c r="B333" s="34"/>
      <c r="C333" s="35"/>
      <c r="D333" s="34"/>
      <c r="E333" s="36"/>
      <c r="F333" s="10"/>
      <c r="H333" s="52" t="s">
        <v>367</v>
      </c>
      <c r="I333" s="31"/>
      <c r="J333" s="13"/>
    </row>
    <row r="334">
      <c r="A334" s="34"/>
      <c r="B334" s="34"/>
      <c r="C334" s="35"/>
      <c r="D334" s="34"/>
      <c r="E334" s="36"/>
      <c r="F334" s="10"/>
      <c r="H334" s="52" t="s">
        <v>368</v>
      </c>
      <c r="I334" s="31"/>
      <c r="J334" s="13"/>
    </row>
    <row r="335">
      <c r="A335" s="34"/>
      <c r="B335" s="34"/>
      <c r="C335" s="35"/>
      <c r="D335" s="34"/>
      <c r="E335" s="36"/>
      <c r="F335" s="10"/>
      <c r="H335" s="52" t="s">
        <v>370</v>
      </c>
      <c r="I335" s="31"/>
      <c r="J335" s="13"/>
    </row>
    <row r="336">
      <c r="A336" s="34"/>
      <c r="B336" s="34"/>
      <c r="C336" s="35"/>
      <c r="D336" s="34"/>
      <c r="E336" s="36"/>
      <c r="F336" s="10"/>
      <c r="H336" s="52" t="s">
        <v>371</v>
      </c>
      <c r="I336" s="31"/>
      <c r="J336" s="13"/>
    </row>
    <row r="337">
      <c r="A337" s="34"/>
      <c r="B337" s="34"/>
      <c r="C337" s="35"/>
      <c r="D337" s="34"/>
      <c r="E337" s="36"/>
      <c r="F337" s="10"/>
      <c r="H337" s="52" t="s">
        <v>372</v>
      </c>
      <c r="I337" s="31"/>
      <c r="J337" s="13"/>
    </row>
    <row r="338">
      <c r="A338" s="34"/>
      <c r="B338" s="34"/>
      <c r="C338" s="35"/>
      <c r="D338" s="34"/>
      <c r="E338" s="36"/>
      <c r="F338" s="10"/>
      <c r="H338" s="52" t="s">
        <v>373</v>
      </c>
      <c r="I338" s="31"/>
      <c r="J338" s="13"/>
    </row>
    <row r="339">
      <c r="A339" s="34"/>
      <c r="B339" s="34"/>
      <c r="C339" s="35"/>
      <c r="D339" s="34"/>
      <c r="E339" s="36"/>
      <c r="F339" s="10"/>
      <c r="H339" s="52" t="s">
        <v>374</v>
      </c>
      <c r="I339" s="31"/>
      <c r="J339" s="13"/>
    </row>
    <row r="340">
      <c r="A340" s="34"/>
      <c r="B340" s="34"/>
      <c r="C340" s="35"/>
      <c r="D340" s="34"/>
      <c r="E340" s="36"/>
      <c r="F340" s="10"/>
      <c r="H340" s="52" t="s">
        <v>375</v>
      </c>
      <c r="I340" s="31"/>
      <c r="J340" s="13"/>
    </row>
    <row r="341">
      <c r="A341" s="34"/>
      <c r="B341" s="34"/>
      <c r="C341" s="35"/>
      <c r="D341" s="34"/>
      <c r="E341" s="36"/>
      <c r="F341" s="10"/>
      <c r="H341" s="52" t="s">
        <v>376</v>
      </c>
      <c r="I341" s="31"/>
      <c r="J341" s="13"/>
    </row>
    <row r="342">
      <c r="A342" s="34"/>
      <c r="B342" s="34"/>
      <c r="C342" s="35"/>
      <c r="D342" s="34"/>
      <c r="E342" s="36"/>
      <c r="F342" s="10"/>
      <c r="H342" s="52" t="s">
        <v>377</v>
      </c>
      <c r="I342" s="31"/>
      <c r="J342" s="13"/>
    </row>
    <row r="343">
      <c r="A343" s="34"/>
      <c r="B343" s="34"/>
      <c r="C343" s="35"/>
      <c r="D343" s="34"/>
      <c r="E343" s="36"/>
      <c r="F343" s="10"/>
      <c r="H343" s="52" t="s">
        <v>378</v>
      </c>
      <c r="I343" s="31"/>
      <c r="J343" s="13"/>
    </row>
    <row r="344">
      <c r="A344" s="28"/>
      <c r="B344" s="28"/>
      <c r="C344" s="29"/>
      <c r="D344" s="28"/>
      <c r="E344" s="30"/>
      <c r="F344" s="10"/>
      <c r="H344" s="52" t="s">
        <v>379</v>
      </c>
      <c r="I344" s="31"/>
      <c r="J344" s="13"/>
    </row>
    <row r="345">
      <c r="A345" s="28"/>
      <c r="B345" s="28"/>
      <c r="C345" s="29"/>
      <c r="D345" s="28"/>
      <c r="E345" s="30"/>
      <c r="F345" s="10"/>
      <c r="H345" s="52" t="s">
        <v>380</v>
      </c>
      <c r="I345" s="31"/>
      <c r="J345" s="13"/>
    </row>
    <row r="346">
      <c r="A346" s="2"/>
      <c r="B346" s="84"/>
      <c r="C346" s="4"/>
      <c r="D346" s="84"/>
      <c r="E346" s="5"/>
      <c r="F346" s="10"/>
      <c r="H346" s="52" t="s">
        <v>381</v>
      </c>
      <c r="I346" s="31"/>
      <c r="J346" s="13"/>
    </row>
    <row r="347">
      <c r="A347" s="14"/>
      <c r="B347" s="85"/>
      <c r="C347" s="4"/>
      <c r="D347" s="85"/>
      <c r="E347" s="5"/>
      <c r="F347" s="10"/>
      <c r="H347" s="52" t="s">
        <v>382</v>
      </c>
      <c r="I347" s="31"/>
      <c r="J347" s="13"/>
    </row>
    <row r="348">
      <c r="A348" s="2"/>
      <c r="B348" s="2"/>
      <c r="C348" s="4"/>
      <c r="D348" s="2"/>
      <c r="E348" s="5"/>
      <c r="F348" s="10"/>
      <c r="H348" s="52" t="s">
        <v>383</v>
      </c>
      <c r="I348" s="31"/>
      <c r="J348" s="13"/>
    </row>
    <row r="349">
      <c r="A349" s="20"/>
      <c r="B349" s="20"/>
      <c r="C349" s="4"/>
      <c r="D349" s="20"/>
      <c r="E349" s="5"/>
      <c r="F349" s="10"/>
      <c r="H349" s="52" t="s">
        <v>384</v>
      </c>
      <c r="I349" s="31"/>
      <c r="J349" s="13"/>
    </row>
    <row r="350">
      <c r="A350" s="88"/>
      <c r="B350" s="88"/>
      <c r="C350" s="23"/>
      <c r="D350" s="88"/>
      <c r="E350" s="24"/>
      <c r="F350" s="10"/>
      <c r="H350" s="52" t="s">
        <v>386</v>
      </c>
      <c r="I350" s="31"/>
      <c r="J350" s="13"/>
    </row>
    <row r="351">
      <c r="A351" s="28"/>
      <c r="B351" s="28"/>
      <c r="C351" s="29"/>
      <c r="D351" s="28"/>
      <c r="E351" s="30"/>
      <c r="F351" s="10"/>
      <c r="H351" s="52" t="s">
        <v>389</v>
      </c>
      <c r="I351" s="31"/>
      <c r="J351" s="13"/>
    </row>
    <row r="352">
      <c r="A352" s="32"/>
      <c r="B352" s="32"/>
      <c r="C352" s="33"/>
      <c r="D352" s="32"/>
      <c r="E352" s="33"/>
      <c r="F352" s="10"/>
      <c r="H352" s="52" t="s">
        <v>390</v>
      </c>
      <c r="I352" s="31"/>
      <c r="J352" s="13"/>
    </row>
    <row r="353">
      <c r="A353" s="34"/>
      <c r="B353" s="34"/>
      <c r="C353" s="35"/>
      <c r="D353" s="34"/>
      <c r="E353" s="36"/>
      <c r="F353" s="10"/>
      <c r="H353" s="52" t="s">
        <v>391</v>
      </c>
      <c r="I353" s="31"/>
      <c r="J353" s="13"/>
    </row>
    <row r="354">
      <c r="A354" s="34"/>
      <c r="B354" s="34"/>
      <c r="C354" s="35"/>
      <c r="D354" s="34"/>
      <c r="E354" s="36"/>
      <c r="F354" s="10"/>
      <c r="H354" s="52" t="s">
        <v>392</v>
      </c>
      <c r="I354" s="31"/>
      <c r="J354" s="13"/>
    </row>
    <row r="355">
      <c r="A355" s="34"/>
      <c r="B355" s="34"/>
      <c r="C355" s="35"/>
      <c r="D355" s="34"/>
      <c r="E355" s="36"/>
      <c r="F355" s="10"/>
      <c r="H355" s="52" t="s">
        <v>393</v>
      </c>
      <c r="I355" s="31"/>
      <c r="J355" s="13"/>
    </row>
    <row r="356">
      <c r="A356" s="34"/>
      <c r="B356" s="34"/>
      <c r="C356" s="35"/>
      <c r="D356" s="34"/>
      <c r="E356" s="36"/>
      <c r="F356" s="10"/>
      <c r="H356" s="52" t="s">
        <v>394</v>
      </c>
      <c r="I356" s="31"/>
      <c r="J356" s="13"/>
    </row>
    <row r="357">
      <c r="A357" s="41"/>
      <c r="B357" s="42"/>
      <c r="C357" s="35"/>
      <c r="D357" s="42"/>
      <c r="E357" s="36"/>
      <c r="F357" s="10"/>
      <c r="H357" s="52" t="s">
        <v>395</v>
      </c>
      <c r="I357" s="31"/>
      <c r="J357" s="13"/>
    </row>
    <row r="358">
      <c r="A358" s="34"/>
      <c r="B358" s="34"/>
      <c r="C358" s="35"/>
      <c r="D358" s="34"/>
      <c r="E358" s="36"/>
      <c r="F358" s="10"/>
      <c r="H358" s="52" t="s">
        <v>398</v>
      </c>
      <c r="I358" s="31"/>
      <c r="J358" s="13"/>
    </row>
    <row r="359">
      <c r="A359" s="68"/>
      <c r="B359" s="68"/>
      <c r="C359" s="35"/>
      <c r="D359" s="68"/>
      <c r="E359" s="36"/>
      <c r="F359" s="10"/>
      <c r="H359" s="52" t="s">
        <v>399</v>
      </c>
      <c r="I359" s="31"/>
      <c r="J359" s="13"/>
    </row>
    <row r="360">
      <c r="A360" s="34"/>
      <c r="B360" s="34"/>
      <c r="C360" s="35"/>
      <c r="D360" s="34"/>
      <c r="E360" s="36"/>
      <c r="F360" s="10"/>
      <c r="H360" s="52" t="s">
        <v>400</v>
      </c>
      <c r="I360" s="31"/>
      <c r="J360" s="13"/>
    </row>
    <row r="361">
      <c r="A361" s="34"/>
      <c r="B361" s="34"/>
      <c r="C361" s="35"/>
      <c r="D361" s="34"/>
      <c r="E361" s="36"/>
      <c r="F361" s="10"/>
      <c r="H361" s="52" t="s">
        <v>401</v>
      </c>
      <c r="I361" s="31"/>
      <c r="J361" s="13"/>
    </row>
    <row r="362">
      <c r="A362" s="34"/>
      <c r="B362" s="34"/>
      <c r="C362" s="35"/>
      <c r="D362" s="34"/>
      <c r="E362" s="36"/>
      <c r="F362" s="10"/>
      <c r="H362" s="52" t="s">
        <v>402</v>
      </c>
      <c r="I362" s="31"/>
      <c r="J362" s="13"/>
    </row>
    <row r="363">
      <c r="A363" s="34"/>
      <c r="B363" s="34"/>
      <c r="C363" s="35"/>
      <c r="D363" s="34"/>
      <c r="E363" s="36"/>
      <c r="F363" s="10"/>
      <c r="H363" s="52" t="s">
        <v>403</v>
      </c>
      <c r="I363" s="31"/>
      <c r="J363" s="13"/>
    </row>
    <row r="364">
      <c r="A364" s="34"/>
      <c r="B364" s="34"/>
      <c r="C364" s="35"/>
      <c r="D364" s="34"/>
      <c r="E364" s="53"/>
      <c r="F364" s="10"/>
      <c r="H364" s="52" t="s">
        <v>404</v>
      </c>
      <c r="I364" s="31"/>
      <c r="J364" s="13"/>
    </row>
    <row r="365">
      <c r="A365" s="34"/>
      <c r="B365" s="34"/>
      <c r="C365" s="35"/>
      <c r="D365" s="34"/>
      <c r="E365" s="36"/>
      <c r="F365" s="10"/>
      <c r="H365" s="52" t="s">
        <v>405</v>
      </c>
      <c r="I365" s="31"/>
      <c r="J365" s="13"/>
    </row>
    <row r="366">
      <c r="A366" s="34"/>
      <c r="B366" s="34"/>
      <c r="C366" s="35"/>
      <c r="D366" s="34"/>
      <c r="E366" s="36"/>
      <c r="F366" s="10"/>
      <c r="H366" s="52" t="s">
        <v>406</v>
      </c>
      <c r="I366" s="31"/>
      <c r="J366" s="13"/>
    </row>
    <row r="367">
      <c r="A367" s="34"/>
      <c r="B367" s="34"/>
      <c r="C367" s="35"/>
      <c r="D367" s="34"/>
      <c r="E367" s="36"/>
      <c r="F367" s="10"/>
      <c r="H367" s="52" t="s">
        <v>407</v>
      </c>
      <c r="I367" s="31"/>
      <c r="J367" s="13"/>
    </row>
    <row r="368">
      <c r="A368" s="34"/>
      <c r="B368" s="34"/>
      <c r="C368" s="35"/>
      <c r="D368" s="34"/>
      <c r="E368" s="36"/>
      <c r="F368" s="10"/>
      <c r="H368" s="52" t="s">
        <v>408</v>
      </c>
      <c r="I368" s="31"/>
      <c r="J368" s="13"/>
    </row>
    <row r="369">
      <c r="A369" s="34"/>
      <c r="B369" s="34"/>
      <c r="C369" s="35"/>
      <c r="D369" s="34"/>
      <c r="E369" s="36"/>
      <c r="F369" s="10"/>
      <c r="H369" s="52" t="s">
        <v>409</v>
      </c>
      <c r="I369" s="31"/>
      <c r="J369" s="13"/>
    </row>
    <row r="370">
      <c r="A370" s="34"/>
      <c r="B370" s="34"/>
      <c r="C370" s="35"/>
      <c r="D370" s="34"/>
      <c r="E370" s="36"/>
      <c r="F370" s="10"/>
      <c r="H370" s="52" t="s">
        <v>410</v>
      </c>
      <c r="I370" s="31"/>
      <c r="J370" s="13"/>
    </row>
    <row r="371">
      <c r="A371" s="34"/>
      <c r="B371" s="34"/>
      <c r="C371" s="35"/>
      <c r="D371" s="34"/>
      <c r="E371" s="36"/>
      <c r="F371" s="10"/>
      <c r="H371" s="52" t="s">
        <v>411</v>
      </c>
      <c r="I371" s="31"/>
      <c r="J371" s="13"/>
    </row>
    <row r="372">
      <c r="A372" s="34"/>
      <c r="B372" s="34"/>
      <c r="C372" s="35"/>
      <c r="D372" s="34"/>
      <c r="E372" s="36"/>
      <c r="F372" s="10"/>
      <c r="H372" s="52" t="s">
        <v>414</v>
      </c>
      <c r="I372" s="31"/>
      <c r="J372" s="13"/>
    </row>
    <row r="373">
      <c r="A373" s="34"/>
      <c r="B373" s="34"/>
      <c r="C373" s="35"/>
      <c r="D373" s="34"/>
      <c r="E373" s="36"/>
      <c r="F373" s="10"/>
      <c r="H373" s="52" t="s">
        <v>415</v>
      </c>
      <c r="I373" s="31"/>
      <c r="J373" s="13"/>
    </row>
    <row r="374">
      <c r="A374" s="34"/>
      <c r="B374" s="34"/>
      <c r="C374" s="35"/>
      <c r="D374" s="34"/>
      <c r="E374" s="36"/>
      <c r="F374" s="10"/>
      <c r="H374" s="52" t="s">
        <v>416</v>
      </c>
      <c r="I374" s="31"/>
      <c r="J374" s="13"/>
    </row>
    <row r="375">
      <c r="A375" s="34"/>
      <c r="B375" s="34"/>
      <c r="C375" s="35"/>
      <c r="D375" s="34"/>
      <c r="E375" s="36"/>
      <c r="F375" s="10"/>
      <c r="H375" s="52" t="s">
        <v>417</v>
      </c>
      <c r="I375" s="31"/>
      <c r="J375" s="13"/>
    </row>
    <row r="376">
      <c r="A376" s="34"/>
      <c r="B376" s="34"/>
      <c r="C376" s="35"/>
      <c r="D376" s="34"/>
      <c r="E376" s="36"/>
      <c r="F376" s="10"/>
      <c r="H376" s="52" t="s">
        <v>418</v>
      </c>
      <c r="I376" s="31"/>
      <c r="J376" s="13"/>
    </row>
    <row r="377">
      <c r="A377" s="34"/>
      <c r="B377" s="34"/>
      <c r="C377" s="35"/>
      <c r="D377" s="34"/>
      <c r="E377" s="36"/>
      <c r="F377" s="10"/>
      <c r="H377" s="52" t="s">
        <v>419</v>
      </c>
      <c r="I377" s="31"/>
      <c r="J377" s="13"/>
    </row>
    <row r="378">
      <c r="A378" s="34"/>
      <c r="B378" s="34"/>
      <c r="C378" s="35"/>
      <c r="D378" s="34"/>
      <c r="E378" s="36"/>
      <c r="F378" s="10"/>
      <c r="H378" s="52" t="s">
        <v>420</v>
      </c>
      <c r="I378" s="31"/>
      <c r="J378" s="13"/>
    </row>
    <row r="379">
      <c r="A379" s="34"/>
      <c r="B379" s="34"/>
      <c r="C379" s="35"/>
      <c r="D379" s="34"/>
      <c r="E379" s="36"/>
      <c r="F379" s="10"/>
      <c r="H379" s="52" t="s">
        <v>421</v>
      </c>
      <c r="I379" s="31"/>
      <c r="J379" s="13"/>
    </row>
    <row r="380">
      <c r="A380" s="34"/>
      <c r="B380" s="34"/>
      <c r="C380" s="35"/>
      <c r="D380" s="34"/>
      <c r="E380" s="53"/>
      <c r="F380" s="10"/>
      <c r="H380" s="52" t="s">
        <v>422</v>
      </c>
      <c r="I380" s="31"/>
      <c r="J380" s="13"/>
    </row>
    <row r="381">
      <c r="A381" s="34"/>
      <c r="B381" s="34"/>
      <c r="C381" s="35"/>
      <c r="D381" s="34"/>
      <c r="E381" s="53"/>
      <c r="F381" s="10"/>
      <c r="H381" s="52" t="s">
        <v>423</v>
      </c>
      <c r="I381" s="31"/>
      <c r="J381" s="13"/>
    </row>
    <row r="382">
      <c r="A382" s="34"/>
      <c r="B382" s="34"/>
      <c r="C382" s="35"/>
      <c r="D382" s="34"/>
      <c r="E382" s="36"/>
      <c r="F382" s="10"/>
      <c r="H382" s="52" t="s">
        <v>424</v>
      </c>
      <c r="I382" s="31"/>
      <c r="J382" s="13"/>
    </row>
    <row r="383">
      <c r="A383" s="34"/>
      <c r="B383" s="34"/>
      <c r="C383" s="35"/>
      <c r="D383" s="34"/>
      <c r="E383" s="53"/>
      <c r="F383" s="10"/>
      <c r="H383" s="52" t="s">
        <v>426</v>
      </c>
      <c r="I383" s="31"/>
      <c r="J383" s="13"/>
    </row>
    <row r="384">
      <c r="A384" s="34"/>
      <c r="B384" s="34"/>
      <c r="C384" s="35"/>
      <c r="D384" s="34"/>
      <c r="E384" s="53"/>
      <c r="F384" s="10"/>
      <c r="H384" s="52" t="s">
        <v>428</v>
      </c>
      <c r="I384" s="31"/>
      <c r="J384" s="13"/>
    </row>
    <row r="385">
      <c r="A385" s="34"/>
      <c r="B385" s="34"/>
      <c r="C385" s="35"/>
      <c r="D385" s="34"/>
      <c r="E385" s="53"/>
      <c r="F385" s="10"/>
      <c r="H385" s="52" t="s">
        <v>430</v>
      </c>
      <c r="I385" s="31"/>
      <c r="J385" s="13"/>
    </row>
    <row r="386">
      <c r="A386" s="34"/>
      <c r="B386" s="34"/>
      <c r="C386" s="35"/>
      <c r="D386" s="34"/>
      <c r="E386" s="53"/>
      <c r="F386" s="10"/>
      <c r="H386" s="52" t="s">
        <v>431</v>
      </c>
      <c r="I386" s="31"/>
      <c r="J386" s="13"/>
    </row>
    <row r="387">
      <c r="A387" s="34"/>
      <c r="B387" s="34"/>
      <c r="C387" s="35"/>
      <c r="D387" s="34"/>
      <c r="E387" s="53"/>
      <c r="F387" s="10"/>
      <c r="H387" s="52" t="s">
        <v>432</v>
      </c>
      <c r="I387" s="31"/>
      <c r="J387" s="13"/>
    </row>
    <row r="388">
      <c r="A388" s="34"/>
      <c r="B388" s="34"/>
      <c r="C388" s="35"/>
      <c r="D388" s="34"/>
      <c r="E388" s="53"/>
      <c r="F388" s="10"/>
      <c r="H388" s="52" t="s">
        <v>433</v>
      </c>
      <c r="I388" s="31"/>
      <c r="J388" s="13"/>
    </row>
    <row r="389">
      <c r="A389" s="34"/>
      <c r="B389" s="34"/>
      <c r="C389" s="35"/>
      <c r="D389" s="34"/>
      <c r="E389" s="53"/>
      <c r="F389" s="10"/>
      <c r="H389" s="52" t="s">
        <v>434</v>
      </c>
      <c r="I389" s="31"/>
      <c r="J389" s="13"/>
    </row>
    <row r="390">
      <c r="A390" s="34"/>
      <c r="B390" s="34"/>
      <c r="C390" s="35"/>
      <c r="D390" s="34"/>
      <c r="E390" s="53"/>
      <c r="F390" s="10"/>
      <c r="H390" s="52" t="s">
        <v>435</v>
      </c>
      <c r="I390" s="31"/>
      <c r="J390" s="13"/>
    </row>
    <row r="391">
      <c r="A391" s="34"/>
      <c r="B391" s="34"/>
      <c r="C391" s="35"/>
      <c r="D391" s="34"/>
      <c r="E391" s="53"/>
      <c r="F391" s="10"/>
      <c r="H391" s="52" t="s">
        <v>436</v>
      </c>
      <c r="I391" s="31"/>
      <c r="J391" s="13"/>
    </row>
    <row r="392">
      <c r="A392" s="34"/>
      <c r="B392" s="34"/>
      <c r="C392" s="35"/>
      <c r="D392" s="34"/>
      <c r="E392" s="36"/>
      <c r="F392" s="10"/>
      <c r="H392" s="52" t="s">
        <v>437</v>
      </c>
      <c r="I392" s="31"/>
      <c r="J392" s="13"/>
    </row>
    <row r="393">
      <c r="A393" s="34"/>
      <c r="B393" s="34"/>
      <c r="C393" s="35"/>
      <c r="D393" s="34"/>
      <c r="E393" s="36"/>
      <c r="F393" s="10"/>
      <c r="H393" s="52" t="s">
        <v>439</v>
      </c>
      <c r="I393" s="31"/>
      <c r="J393" s="13"/>
    </row>
    <row r="394">
      <c r="A394" s="34"/>
      <c r="B394" s="34"/>
      <c r="C394" s="35"/>
      <c r="D394" s="34"/>
      <c r="E394" s="36"/>
      <c r="F394" s="10"/>
      <c r="H394" s="52" t="s">
        <v>440</v>
      </c>
      <c r="I394" s="31"/>
      <c r="J394" s="13"/>
    </row>
    <row r="395">
      <c r="A395" s="34"/>
      <c r="B395" s="34"/>
      <c r="C395" s="35"/>
      <c r="D395" s="34"/>
      <c r="E395" s="36"/>
      <c r="F395" s="10"/>
      <c r="H395" s="52" t="s">
        <v>441</v>
      </c>
      <c r="I395" s="31"/>
      <c r="J395" s="13"/>
    </row>
    <row r="396">
      <c r="A396" s="34"/>
      <c r="B396" s="34"/>
      <c r="C396" s="35"/>
      <c r="D396" s="34"/>
      <c r="E396" s="36"/>
      <c r="F396" s="10"/>
      <c r="H396" s="52" t="s">
        <v>442</v>
      </c>
      <c r="I396" s="31"/>
      <c r="J396" s="13"/>
    </row>
    <row r="397">
      <c r="A397" s="34"/>
      <c r="B397" s="34"/>
      <c r="C397" s="35"/>
      <c r="D397" s="34"/>
      <c r="E397" s="53"/>
      <c r="F397" s="10"/>
      <c r="H397" s="52" t="s">
        <v>443</v>
      </c>
      <c r="I397" s="31"/>
      <c r="J397" s="13"/>
    </row>
    <row r="398">
      <c r="A398" s="34"/>
      <c r="B398" s="34"/>
      <c r="C398" s="35"/>
      <c r="D398" s="34"/>
      <c r="E398" s="36"/>
      <c r="F398" s="10"/>
      <c r="H398" s="52" t="s">
        <v>444</v>
      </c>
      <c r="I398" s="31"/>
      <c r="J398" s="13"/>
    </row>
    <row r="399">
      <c r="A399" s="34"/>
      <c r="B399" s="34"/>
      <c r="C399" s="35"/>
      <c r="D399" s="34"/>
      <c r="E399" s="36"/>
      <c r="F399" s="10"/>
      <c r="H399" s="52" t="s">
        <v>445</v>
      </c>
      <c r="I399" s="31"/>
      <c r="J399" s="13"/>
    </row>
    <row r="400">
      <c r="A400" s="34"/>
      <c r="B400" s="34"/>
      <c r="C400" s="35"/>
      <c r="D400" s="34"/>
      <c r="E400" s="36"/>
      <c r="F400" s="10"/>
      <c r="H400" s="52" t="s">
        <v>446</v>
      </c>
      <c r="I400" s="31"/>
      <c r="J400" s="13"/>
    </row>
    <row r="401">
      <c r="A401" s="34"/>
      <c r="B401" s="34"/>
      <c r="C401" s="35"/>
      <c r="D401" s="34"/>
      <c r="E401" s="36"/>
      <c r="F401" s="10"/>
      <c r="H401" s="52" t="s">
        <v>447</v>
      </c>
      <c r="I401" s="31"/>
      <c r="J401" s="13"/>
    </row>
    <row r="402">
      <c r="A402" s="34"/>
      <c r="B402" s="34"/>
      <c r="C402" s="35"/>
      <c r="D402" s="34"/>
      <c r="E402" s="36"/>
      <c r="F402" s="10"/>
      <c r="H402" s="52" t="s">
        <v>448</v>
      </c>
      <c r="I402" s="31"/>
      <c r="J402" s="13"/>
    </row>
    <row r="403">
      <c r="A403" s="34"/>
      <c r="B403" s="34"/>
      <c r="C403" s="35"/>
      <c r="D403" s="34"/>
      <c r="E403" s="36"/>
      <c r="F403" s="10"/>
      <c r="H403" s="52" t="s">
        <v>449</v>
      </c>
      <c r="I403" s="31"/>
      <c r="J403" s="13"/>
    </row>
    <row r="404">
      <c r="A404" s="34"/>
      <c r="B404" s="34"/>
      <c r="C404" s="35"/>
      <c r="D404" s="34"/>
      <c r="E404" s="36"/>
      <c r="F404" s="10"/>
      <c r="H404" s="52" t="s">
        <v>451</v>
      </c>
      <c r="I404" s="31"/>
      <c r="J404" s="13"/>
    </row>
    <row r="405">
      <c r="A405" s="34"/>
      <c r="B405" s="34"/>
      <c r="C405" s="35"/>
      <c r="D405" s="34"/>
      <c r="E405" s="36"/>
      <c r="F405" s="10"/>
      <c r="H405" s="52" t="s">
        <v>452</v>
      </c>
      <c r="I405" s="31"/>
      <c r="J405" s="13"/>
    </row>
    <row r="406">
      <c r="A406" s="34"/>
      <c r="B406" s="34"/>
      <c r="C406" s="35"/>
      <c r="D406" s="34"/>
      <c r="E406" s="36"/>
      <c r="F406" s="10"/>
      <c r="H406" s="21"/>
      <c r="I406" s="31"/>
      <c r="J406" s="13"/>
    </row>
    <row r="407">
      <c r="A407" s="34"/>
      <c r="B407" s="34"/>
      <c r="C407" s="35"/>
      <c r="D407" s="34"/>
      <c r="E407" s="36"/>
      <c r="F407" s="10"/>
      <c r="H407" s="21"/>
      <c r="I407" s="31"/>
      <c r="J407" s="13"/>
    </row>
    <row r="408">
      <c r="A408" s="34"/>
      <c r="B408" s="34"/>
      <c r="C408" s="35"/>
      <c r="D408" s="34"/>
      <c r="E408" s="36"/>
      <c r="F408" s="10"/>
      <c r="H408" s="21"/>
      <c r="I408" s="31"/>
      <c r="J408" s="13"/>
    </row>
    <row r="409">
      <c r="A409" s="34"/>
      <c r="B409" s="34"/>
      <c r="C409" s="35"/>
      <c r="D409" s="34"/>
      <c r="E409" s="36"/>
      <c r="F409" s="10"/>
      <c r="H409" s="21"/>
      <c r="I409" s="31"/>
      <c r="J409" s="13"/>
    </row>
    <row r="410">
      <c r="A410" s="34"/>
      <c r="B410" s="34"/>
      <c r="C410" s="35"/>
      <c r="D410" s="34"/>
      <c r="E410" s="36"/>
      <c r="F410" s="10"/>
      <c r="H410" s="21"/>
      <c r="I410" s="31"/>
      <c r="J410" s="13"/>
    </row>
    <row r="411">
      <c r="A411" s="34"/>
      <c r="B411" s="34"/>
      <c r="C411" s="35"/>
      <c r="D411" s="34"/>
      <c r="E411" s="36"/>
      <c r="F411" s="10"/>
      <c r="H411" s="21"/>
      <c r="I411" s="31"/>
      <c r="J411" s="13"/>
    </row>
    <row r="412">
      <c r="A412" s="34"/>
      <c r="B412" s="34"/>
      <c r="C412" s="35"/>
      <c r="D412" s="34"/>
      <c r="E412" s="36"/>
      <c r="F412" s="10"/>
      <c r="H412" s="21"/>
      <c r="I412" s="31"/>
      <c r="J412" s="13"/>
    </row>
    <row r="413">
      <c r="A413" s="34"/>
      <c r="B413" s="34"/>
      <c r="C413" s="35"/>
      <c r="D413" s="34"/>
      <c r="E413" s="36"/>
      <c r="F413" s="10"/>
      <c r="H413" s="21"/>
      <c r="I413" s="31"/>
      <c r="J413" s="13"/>
    </row>
    <row r="414">
      <c r="A414" s="34"/>
      <c r="B414" s="34"/>
      <c r="C414" s="35"/>
      <c r="D414" s="34"/>
      <c r="E414" s="36"/>
      <c r="F414" s="10"/>
      <c r="H414" s="21"/>
      <c r="I414" s="31"/>
      <c r="J414" s="13"/>
    </row>
    <row r="415">
      <c r="A415" s="34"/>
      <c r="B415" s="34"/>
      <c r="C415" s="35"/>
      <c r="D415" s="34"/>
      <c r="E415" s="36"/>
      <c r="F415" s="10"/>
      <c r="H415" s="21"/>
      <c r="I415" s="31"/>
      <c r="J415" s="13"/>
    </row>
    <row r="416">
      <c r="A416" s="34"/>
      <c r="B416" s="34"/>
      <c r="C416" s="35"/>
      <c r="D416" s="34"/>
      <c r="E416" s="36"/>
      <c r="F416" s="10"/>
      <c r="H416" s="21"/>
      <c r="I416" s="31"/>
      <c r="J416" s="13"/>
    </row>
    <row r="417">
      <c r="A417" s="34"/>
      <c r="B417" s="34"/>
      <c r="C417" s="35"/>
      <c r="D417" s="34"/>
      <c r="E417" s="36"/>
      <c r="F417" s="10"/>
      <c r="H417" s="21"/>
      <c r="I417" s="31"/>
      <c r="J417" s="13"/>
    </row>
    <row r="418">
      <c r="A418" s="34"/>
      <c r="B418" s="34"/>
      <c r="C418" s="35"/>
      <c r="D418" s="34"/>
      <c r="E418" s="36"/>
      <c r="F418" s="10"/>
      <c r="H418" s="21"/>
      <c r="I418" s="31"/>
      <c r="J418" s="13"/>
    </row>
    <row r="419">
      <c r="A419" s="34"/>
      <c r="B419" s="34"/>
      <c r="C419" s="35"/>
      <c r="D419" s="34"/>
      <c r="E419" s="36"/>
      <c r="F419" s="10"/>
      <c r="H419" s="21"/>
      <c r="I419" s="31"/>
      <c r="J419" s="13"/>
    </row>
    <row r="420">
      <c r="A420" s="34"/>
      <c r="B420" s="34"/>
      <c r="C420" s="35"/>
      <c r="D420" s="34"/>
      <c r="E420" s="36"/>
      <c r="F420" s="10"/>
      <c r="H420" s="21"/>
      <c r="I420" s="31"/>
      <c r="J420" s="13"/>
    </row>
    <row r="421">
      <c r="A421" s="34"/>
      <c r="B421" s="34"/>
      <c r="C421" s="35"/>
      <c r="D421" s="34"/>
      <c r="E421" s="36"/>
      <c r="F421" s="10"/>
      <c r="H421" s="21"/>
      <c r="I421" s="31"/>
      <c r="J421" s="13"/>
    </row>
    <row r="422">
      <c r="A422" s="34"/>
      <c r="B422" s="34"/>
      <c r="C422" s="35"/>
      <c r="D422" s="34"/>
      <c r="E422" s="36"/>
      <c r="F422" s="10"/>
      <c r="H422" s="21"/>
      <c r="I422" s="31"/>
      <c r="J422" s="13"/>
    </row>
    <row r="423">
      <c r="A423" s="34"/>
      <c r="B423" s="34"/>
      <c r="C423" s="35"/>
      <c r="D423" s="34"/>
      <c r="E423" s="36"/>
      <c r="F423" s="10"/>
      <c r="H423" s="21"/>
      <c r="I423" s="31"/>
      <c r="J423" s="13"/>
    </row>
    <row r="424">
      <c r="A424" s="34"/>
      <c r="B424" s="34"/>
      <c r="C424" s="35"/>
      <c r="D424" s="34"/>
      <c r="E424" s="36"/>
      <c r="F424" s="10"/>
      <c r="H424" s="21"/>
      <c r="I424" s="31"/>
      <c r="J424" s="13"/>
    </row>
    <row r="425">
      <c r="A425" s="34"/>
      <c r="B425" s="34"/>
      <c r="C425" s="35"/>
      <c r="D425" s="34"/>
      <c r="E425" s="36"/>
      <c r="F425" s="10"/>
      <c r="H425" s="21"/>
      <c r="I425" s="31"/>
      <c r="J425" s="13"/>
    </row>
    <row r="426">
      <c r="A426" s="34"/>
      <c r="B426" s="34"/>
      <c r="C426" s="35"/>
      <c r="D426" s="34"/>
      <c r="E426" s="36"/>
      <c r="F426" s="10"/>
      <c r="H426" s="21"/>
      <c r="I426" s="31"/>
      <c r="J426" s="13"/>
    </row>
    <row r="427">
      <c r="A427" s="34"/>
      <c r="B427" s="34"/>
      <c r="C427" s="35"/>
      <c r="D427" s="34"/>
      <c r="E427" s="36"/>
      <c r="F427" s="10"/>
      <c r="H427" s="21"/>
      <c r="I427" s="31"/>
      <c r="J427" s="13"/>
    </row>
    <row r="428">
      <c r="A428" s="34"/>
      <c r="B428" s="34"/>
      <c r="C428" s="35"/>
      <c r="D428" s="34"/>
      <c r="E428" s="36"/>
      <c r="F428" s="10"/>
      <c r="H428" s="21"/>
      <c r="I428" s="31"/>
      <c r="J428" s="13"/>
    </row>
    <row r="429">
      <c r="A429" s="34"/>
      <c r="B429" s="34"/>
      <c r="C429" s="35"/>
      <c r="D429" s="34"/>
      <c r="E429" s="36"/>
      <c r="F429" s="10"/>
      <c r="H429" s="21"/>
      <c r="I429" s="31"/>
      <c r="J429" s="13"/>
    </row>
    <row r="430">
      <c r="A430" s="34"/>
      <c r="B430" s="34"/>
      <c r="C430" s="35"/>
      <c r="D430" s="34"/>
      <c r="E430" s="64"/>
      <c r="F430" s="10"/>
      <c r="H430" s="21"/>
      <c r="I430" s="31"/>
      <c r="J430" s="13"/>
    </row>
    <row r="431">
      <c r="A431" s="34"/>
      <c r="B431" s="34"/>
      <c r="C431" s="35"/>
      <c r="D431" s="34"/>
      <c r="E431" s="64"/>
      <c r="F431" s="10"/>
      <c r="H431" s="21"/>
      <c r="I431" s="31"/>
      <c r="J431" s="13"/>
    </row>
    <row r="432">
      <c r="A432" s="34"/>
      <c r="B432" s="34"/>
      <c r="C432" s="35"/>
      <c r="D432" s="34"/>
      <c r="E432" s="64"/>
      <c r="F432" s="10"/>
      <c r="H432" s="21"/>
      <c r="I432" s="31"/>
      <c r="J432" s="13"/>
    </row>
    <row r="433">
      <c r="A433" s="34"/>
      <c r="B433" s="34"/>
      <c r="C433" s="35"/>
      <c r="D433" s="34"/>
      <c r="E433" s="36"/>
      <c r="F433" s="10"/>
      <c r="H433" s="21"/>
      <c r="I433" s="31"/>
      <c r="J433" s="13"/>
    </row>
    <row r="434">
      <c r="A434" s="34"/>
      <c r="B434" s="34"/>
      <c r="C434" s="35"/>
      <c r="D434" s="34"/>
      <c r="E434" s="36"/>
      <c r="F434" s="10"/>
      <c r="H434" s="21"/>
      <c r="I434" s="31"/>
      <c r="J434" s="13"/>
    </row>
    <row r="435">
      <c r="A435" s="34"/>
      <c r="B435" s="34"/>
      <c r="C435" s="35"/>
      <c r="D435" s="34"/>
      <c r="E435" s="64"/>
      <c r="F435" s="10"/>
      <c r="H435" s="21"/>
      <c r="I435" s="31"/>
      <c r="J435" s="13"/>
    </row>
    <row r="436">
      <c r="A436" s="34"/>
      <c r="B436" s="34"/>
      <c r="C436" s="35"/>
      <c r="D436" s="34"/>
      <c r="E436" s="53"/>
      <c r="F436" s="10"/>
      <c r="H436" s="21"/>
      <c r="I436" s="31"/>
      <c r="J436" s="13"/>
    </row>
    <row r="437">
      <c r="A437" s="34"/>
      <c r="B437" s="34"/>
      <c r="C437" s="35"/>
      <c r="D437" s="34"/>
      <c r="E437" s="36"/>
      <c r="F437" s="10"/>
      <c r="H437" s="21"/>
      <c r="I437" s="31"/>
      <c r="J437" s="13"/>
    </row>
    <row r="438">
      <c r="A438" s="34"/>
      <c r="B438" s="34"/>
      <c r="C438" s="35"/>
      <c r="D438" s="34"/>
      <c r="E438" s="36"/>
      <c r="F438" s="10"/>
      <c r="H438" s="21"/>
      <c r="I438" s="31"/>
      <c r="J438" s="13"/>
    </row>
    <row r="439">
      <c r="A439" s="34"/>
      <c r="B439" s="34"/>
      <c r="C439" s="35"/>
      <c r="D439" s="34"/>
      <c r="E439" s="36"/>
      <c r="F439" s="10"/>
      <c r="H439" s="21"/>
      <c r="I439" s="31"/>
      <c r="J439" s="13"/>
    </row>
    <row r="440">
      <c r="A440" s="34"/>
      <c r="B440" s="34"/>
      <c r="C440" s="35"/>
      <c r="D440" s="34"/>
      <c r="E440" s="36"/>
      <c r="F440" s="10"/>
      <c r="H440" s="21"/>
      <c r="I440" s="31"/>
      <c r="J440" s="13"/>
    </row>
    <row r="441">
      <c r="A441" s="34"/>
      <c r="B441" s="34"/>
      <c r="C441" s="35"/>
      <c r="D441" s="34"/>
      <c r="E441" s="36"/>
      <c r="F441" s="10"/>
      <c r="H441" s="21"/>
      <c r="I441" s="31"/>
      <c r="J441" s="13"/>
    </row>
    <row r="442">
      <c r="A442" s="34"/>
      <c r="B442" s="34"/>
      <c r="C442" s="35"/>
      <c r="D442" s="34"/>
      <c r="E442" s="36"/>
      <c r="F442" s="10"/>
      <c r="H442" s="21"/>
      <c r="I442" s="31"/>
      <c r="J442" s="13"/>
    </row>
    <row r="443">
      <c r="A443" s="68"/>
      <c r="B443" s="68"/>
      <c r="C443" s="35"/>
      <c r="D443" s="68"/>
      <c r="E443" s="36"/>
      <c r="F443" s="10"/>
      <c r="H443" s="21"/>
      <c r="I443" s="31"/>
      <c r="J443" s="13"/>
    </row>
    <row r="444">
      <c r="A444" s="34"/>
      <c r="B444" s="34"/>
      <c r="C444" s="35"/>
      <c r="D444" s="34"/>
      <c r="E444" s="36"/>
      <c r="F444" s="10"/>
      <c r="H444" s="21"/>
      <c r="I444" s="31"/>
      <c r="J444" s="13"/>
    </row>
    <row r="445">
      <c r="A445" s="68"/>
      <c r="B445" s="68"/>
      <c r="C445" s="35"/>
      <c r="D445" s="68"/>
      <c r="E445" s="36"/>
      <c r="F445" s="10"/>
      <c r="H445" s="21"/>
      <c r="I445" s="31"/>
      <c r="J445" s="13"/>
    </row>
    <row r="446">
      <c r="A446" s="34"/>
      <c r="B446" s="34"/>
      <c r="C446" s="35"/>
      <c r="D446" s="34"/>
      <c r="E446" s="36"/>
      <c r="F446" s="10"/>
      <c r="H446" s="21"/>
      <c r="I446" s="31"/>
      <c r="J446" s="13"/>
    </row>
    <row r="447">
      <c r="A447" s="34"/>
      <c r="B447" s="34"/>
      <c r="C447" s="35"/>
      <c r="D447" s="34"/>
      <c r="E447" s="36"/>
      <c r="F447" s="10"/>
      <c r="H447" s="21"/>
      <c r="I447" s="31"/>
      <c r="J447" s="13"/>
    </row>
    <row r="448">
      <c r="A448" s="34"/>
      <c r="B448" s="34"/>
      <c r="C448" s="35"/>
      <c r="D448" s="34"/>
      <c r="E448" s="36"/>
      <c r="F448" s="10"/>
      <c r="H448" s="21"/>
      <c r="I448" s="31"/>
      <c r="J448" s="13"/>
    </row>
    <row r="449">
      <c r="A449" s="34"/>
      <c r="B449" s="34"/>
      <c r="C449" s="35"/>
      <c r="D449" s="34"/>
      <c r="E449" s="36"/>
      <c r="F449" s="10"/>
      <c r="H449" s="21"/>
      <c r="I449" s="31"/>
      <c r="J449" s="13"/>
    </row>
    <row r="450">
      <c r="A450" s="34"/>
      <c r="B450" s="34"/>
      <c r="C450" s="35"/>
      <c r="D450" s="34"/>
      <c r="E450" s="36"/>
      <c r="F450" s="10"/>
      <c r="H450" s="21"/>
      <c r="I450" s="31"/>
      <c r="J450" s="13"/>
    </row>
    <row r="451">
      <c r="A451" s="34"/>
      <c r="B451" s="34"/>
      <c r="C451" s="35"/>
      <c r="D451" s="34"/>
      <c r="E451" s="36"/>
      <c r="F451" s="10"/>
      <c r="H451" s="21"/>
      <c r="I451" s="31"/>
      <c r="J451" s="13"/>
    </row>
    <row r="452">
      <c r="A452" s="34"/>
      <c r="B452" s="34"/>
      <c r="C452" s="35"/>
      <c r="D452" s="34"/>
      <c r="E452" s="36"/>
      <c r="F452" s="10"/>
      <c r="H452" s="21"/>
      <c r="I452" s="31"/>
      <c r="J452" s="13"/>
    </row>
    <row r="453">
      <c r="A453" s="34"/>
      <c r="B453" s="34"/>
      <c r="C453" s="35"/>
      <c r="D453" s="34"/>
      <c r="E453" s="36"/>
      <c r="F453" s="10"/>
      <c r="H453" s="21"/>
      <c r="I453" s="31"/>
      <c r="J453" s="13"/>
    </row>
    <row r="454">
      <c r="A454" s="34"/>
      <c r="B454" s="34"/>
      <c r="C454" s="35"/>
      <c r="D454" s="34"/>
      <c r="E454" s="36"/>
      <c r="F454" s="10"/>
      <c r="H454" s="21"/>
      <c r="I454" s="31"/>
      <c r="J454" s="13"/>
    </row>
    <row r="455">
      <c r="A455" s="34"/>
      <c r="B455" s="34"/>
      <c r="C455" s="35"/>
      <c r="D455" s="34"/>
      <c r="E455" s="36"/>
      <c r="F455" s="10"/>
      <c r="H455" s="21"/>
      <c r="I455" s="31"/>
      <c r="J455" s="13"/>
    </row>
    <row r="456">
      <c r="A456" s="34"/>
      <c r="B456" s="34"/>
      <c r="C456" s="35"/>
      <c r="D456" s="34"/>
      <c r="E456" s="36"/>
      <c r="F456" s="10"/>
      <c r="H456" s="21"/>
      <c r="I456" s="31"/>
      <c r="J456" s="13"/>
    </row>
    <row r="457">
      <c r="A457" s="34"/>
      <c r="B457" s="34"/>
      <c r="C457" s="35"/>
      <c r="D457" s="34"/>
      <c r="E457" s="36"/>
      <c r="F457" s="10"/>
      <c r="H457" s="21"/>
      <c r="I457" s="31"/>
      <c r="J457" s="13"/>
    </row>
    <row r="458">
      <c r="A458" s="34"/>
      <c r="B458" s="34"/>
      <c r="C458" s="35"/>
      <c r="D458" s="34"/>
      <c r="E458" s="36"/>
      <c r="F458" s="10"/>
      <c r="H458" s="21"/>
      <c r="I458" s="31"/>
      <c r="J458" s="13"/>
    </row>
    <row r="459">
      <c r="A459" s="34"/>
      <c r="B459" s="34"/>
      <c r="C459" s="35"/>
      <c r="D459" s="34"/>
      <c r="E459" s="36"/>
      <c r="F459" s="10"/>
      <c r="H459" s="21"/>
      <c r="I459" s="31"/>
      <c r="J459" s="13"/>
    </row>
    <row r="460">
      <c r="A460" s="34"/>
      <c r="B460" s="34"/>
      <c r="C460" s="35"/>
      <c r="D460" s="34"/>
      <c r="E460" s="36"/>
      <c r="F460" s="10"/>
      <c r="H460" s="21"/>
      <c r="I460" s="31"/>
      <c r="J460" s="13"/>
    </row>
    <row r="461">
      <c r="A461" s="34"/>
      <c r="B461" s="34"/>
      <c r="C461" s="35"/>
      <c r="D461" s="34"/>
      <c r="E461" s="36"/>
      <c r="F461" s="10"/>
      <c r="H461" s="21"/>
      <c r="I461" s="31"/>
      <c r="J461" s="13"/>
    </row>
    <row r="462">
      <c r="A462" s="34"/>
      <c r="B462" s="34"/>
      <c r="C462" s="35"/>
      <c r="D462" s="34"/>
      <c r="E462" s="36"/>
      <c r="F462" s="10"/>
      <c r="H462" s="21"/>
      <c r="I462" s="31"/>
      <c r="J462" s="13"/>
    </row>
    <row r="463">
      <c r="A463" s="34"/>
      <c r="B463" s="34"/>
      <c r="C463" s="35"/>
      <c r="D463" s="34"/>
      <c r="E463" s="33"/>
      <c r="F463" s="10"/>
      <c r="H463" s="21"/>
      <c r="I463" s="31"/>
      <c r="J463" s="13"/>
    </row>
    <row r="464">
      <c r="A464" s="34"/>
      <c r="B464" s="34"/>
      <c r="C464" s="35"/>
      <c r="D464" s="34"/>
      <c r="E464" s="36"/>
      <c r="F464" s="10"/>
      <c r="H464" s="21"/>
      <c r="I464" s="31"/>
      <c r="J464" s="13"/>
    </row>
    <row r="465">
      <c r="A465" s="34"/>
      <c r="B465" s="34"/>
      <c r="C465" s="35"/>
      <c r="D465" s="34"/>
      <c r="E465" s="36"/>
      <c r="F465" s="10"/>
      <c r="H465" s="21"/>
      <c r="I465" s="31"/>
      <c r="J465" s="13"/>
    </row>
    <row r="466">
      <c r="A466" s="34"/>
      <c r="B466" s="34"/>
      <c r="C466" s="35"/>
      <c r="D466" s="34"/>
      <c r="E466" s="36"/>
      <c r="F466" s="10"/>
      <c r="H466" s="21"/>
      <c r="I466" s="31"/>
      <c r="J466" s="13"/>
    </row>
    <row r="467">
      <c r="A467" s="34"/>
      <c r="B467" s="34"/>
      <c r="C467" s="35"/>
      <c r="D467" s="34"/>
      <c r="E467" s="36"/>
      <c r="F467" s="10"/>
      <c r="H467" s="21"/>
      <c r="I467" s="31"/>
      <c r="J467" s="13"/>
    </row>
    <row r="468">
      <c r="A468" s="34"/>
      <c r="B468" s="34"/>
      <c r="C468" s="35"/>
      <c r="D468" s="34"/>
      <c r="E468" s="36"/>
      <c r="F468" s="10"/>
      <c r="H468" s="21"/>
      <c r="I468" s="31"/>
      <c r="J468" s="13"/>
    </row>
    <row r="469">
      <c r="A469" s="34"/>
      <c r="B469" s="34"/>
      <c r="C469" s="35"/>
      <c r="D469" s="34"/>
      <c r="E469" s="36"/>
      <c r="F469" s="10"/>
      <c r="H469" s="21"/>
      <c r="I469" s="31"/>
      <c r="J469" s="13"/>
    </row>
    <row r="470">
      <c r="A470" s="34"/>
      <c r="B470" s="34"/>
      <c r="C470" s="35"/>
      <c r="D470" s="34"/>
      <c r="E470" s="36"/>
      <c r="F470" s="10"/>
      <c r="H470" s="21"/>
      <c r="I470" s="31"/>
      <c r="J470" s="13"/>
    </row>
    <row r="471">
      <c r="A471" s="34"/>
      <c r="B471" s="34"/>
      <c r="C471" s="35"/>
      <c r="D471" s="34"/>
      <c r="E471" s="36"/>
      <c r="F471" s="10"/>
      <c r="H471" s="21"/>
      <c r="I471" s="31"/>
      <c r="J471" s="13"/>
    </row>
    <row r="472">
      <c r="A472" s="34"/>
      <c r="B472" s="34"/>
      <c r="C472" s="35"/>
      <c r="D472" s="34"/>
      <c r="E472" s="36"/>
      <c r="F472" s="10"/>
      <c r="H472" s="21"/>
      <c r="I472" s="31"/>
      <c r="J472" s="13"/>
    </row>
    <row r="473">
      <c r="A473" s="34"/>
      <c r="B473" s="34"/>
      <c r="C473" s="35"/>
      <c r="D473" s="34"/>
      <c r="E473" s="36"/>
      <c r="F473" s="10"/>
      <c r="H473" s="21"/>
      <c r="I473" s="31"/>
      <c r="J473" s="13"/>
    </row>
    <row r="474">
      <c r="A474" s="68"/>
      <c r="B474" s="68"/>
      <c r="C474" s="35"/>
      <c r="D474" s="68"/>
      <c r="E474" s="36"/>
      <c r="F474" s="10"/>
      <c r="H474" s="21"/>
      <c r="I474" s="31"/>
      <c r="J474" s="13"/>
    </row>
    <row r="475">
      <c r="A475" s="68"/>
      <c r="B475" s="68"/>
      <c r="C475" s="35"/>
      <c r="D475" s="68"/>
      <c r="E475" s="36"/>
      <c r="F475" s="10"/>
      <c r="H475" s="21"/>
      <c r="I475" s="31"/>
      <c r="J475" s="13"/>
    </row>
    <row r="476">
      <c r="A476" s="34"/>
      <c r="B476" s="34"/>
      <c r="C476" s="35"/>
      <c r="D476" s="34"/>
      <c r="E476" s="36"/>
      <c r="F476" s="10"/>
      <c r="H476" s="21"/>
      <c r="I476" s="31"/>
      <c r="J476" s="13"/>
    </row>
    <row r="477">
      <c r="A477" s="68"/>
      <c r="B477" s="68"/>
      <c r="C477" s="35"/>
      <c r="D477" s="68"/>
      <c r="E477" s="36"/>
      <c r="F477" s="10"/>
      <c r="H477" s="21"/>
      <c r="I477" s="31"/>
      <c r="J477" s="13"/>
    </row>
    <row r="478">
      <c r="A478" s="34"/>
      <c r="B478" s="34"/>
      <c r="C478" s="35"/>
      <c r="D478" s="34"/>
      <c r="E478" s="36"/>
      <c r="F478" s="10"/>
      <c r="H478" s="21"/>
      <c r="I478" s="31"/>
      <c r="J478" s="13"/>
    </row>
    <row r="479">
      <c r="A479" s="34"/>
      <c r="B479" s="34"/>
      <c r="C479" s="35"/>
      <c r="D479" s="34"/>
      <c r="E479" s="36"/>
      <c r="F479" s="10"/>
      <c r="H479" s="21"/>
      <c r="I479" s="31"/>
      <c r="J479" s="13"/>
    </row>
    <row r="480">
      <c r="A480" s="34"/>
      <c r="B480" s="34"/>
      <c r="C480" s="35"/>
      <c r="D480" s="34"/>
      <c r="E480" s="36"/>
      <c r="F480" s="10"/>
      <c r="H480" s="21"/>
      <c r="I480" s="31"/>
      <c r="J480" s="13"/>
    </row>
    <row r="481">
      <c r="A481" s="34"/>
      <c r="B481" s="34"/>
      <c r="C481" s="35"/>
      <c r="D481" s="34"/>
      <c r="E481" s="36"/>
      <c r="F481" s="10"/>
      <c r="H481" s="21"/>
      <c r="I481" s="31"/>
      <c r="J481" s="13"/>
    </row>
    <row r="482">
      <c r="A482" s="34"/>
      <c r="B482" s="34"/>
      <c r="C482" s="35"/>
      <c r="D482" s="34"/>
      <c r="E482" s="36"/>
      <c r="F482" s="10"/>
      <c r="H482" s="21"/>
      <c r="I482" s="31"/>
      <c r="J482" s="13"/>
    </row>
    <row r="483">
      <c r="A483" s="34"/>
      <c r="B483" s="34"/>
      <c r="C483" s="35"/>
      <c r="D483" s="34"/>
      <c r="E483" s="36"/>
      <c r="F483" s="10"/>
      <c r="H483" s="21"/>
      <c r="I483" s="31"/>
      <c r="J483" s="13"/>
    </row>
    <row r="484">
      <c r="A484" s="34"/>
      <c r="B484" s="34"/>
      <c r="C484" s="35"/>
      <c r="D484" s="34"/>
      <c r="E484" s="36"/>
      <c r="F484" s="10"/>
      <c r="H484" s="21"/>
      <c r="I484" s="31"/>
      <c r="J484" s="13"/>
    </row>
    <row r="485">
      <c r="A485" s="34"/>
      <c r="B485" s="34"/>
      <c r="C485" s="35"/>
      <c r="D485" s="34"/>
      <c r="E485" s="36"/>
      <c r="F485" s="10"/>
      <c r="H485" s="21"/>
      <c r="I485" s="31"/>
      <c r="J485" s="13"/>
    </row>
    <row r="486">
      <c r="A486" s="34"/>
      <c r="B486" s="34"/>
      <c r="C486" s="35"/>
      <c r="D486" s="34"/>
      <c r="E486" s="36"/>
      <c r="F486" s="10"/>
      <c r="H486" s="21"/>
      <c r="I486" s="31"/>
      <c r="J486" s="13"/>
    </row>
    <row r="487">
      <c r="A487" s="34"/>
      <c r="B487" s="34"/>
      <c r="C487" s="35"/>
      <c r="D487" s="34"/>
      <c r="E487" s="36"/>
      <c r="F487" s="10"/>
      <c r="H487" s="21"/>
      <c r="I487" s="31"/>
      <c r="J487" s="13"/>
    </row>
    <row r="488">
      <c r="A488" s="34"/>
      <c r="B488" s="34"/>
      <c r="C488" s="35"/>
      <c r="D488" s="34"/>
      <c r="E488" s="36"/>
      <c r="F488" s="10"/>
      <c r="H488" s="21"/>
      <c r="I488" s="31"/>
      <c r="J488" s="13"/>
    </row>
    <row r="489">
      <c r="A489" s="34"/>
      <c r="B489" s="34"/>
      <c r="C489" s="35"/>
      <c r="D489" s="34"/>
      <c r="E489" s="36"/>
      <c r="F489" s="10"/>
      <c r="H489" s="21"/>
      <c r="I489" s="31"/>
      <c r="J489" s="13"/>
    </row>
    <row r="490">
      <c r="A490" s="68"/>
      <c r="B490" s="68"/>
      <c r="C490" s="29"/>
      <c r="D490" s="68"/>
      <c r="E490" s="36"/>
      <c r="F490" s="10"/>
      <c r="H490" s="21"/>
      <c r="I490" s="31"/>
      <c r="J490" s="13"/>
    </row>
    <row r="491">
      <c r="A491" s="34"/>
      <c r="B491" s="34"/>
      <c r="C491" s="35"/>
      <c r="D491" s="34"/>
      <c r="E491" s="36"/>
      <c r="F491" s="10"/>
      <c r="H491" s="21"/>
      <c r="I491" s="31"/>
      <c r="J491" s="13"/>
    </row>
    <row r="492">
      <c r="A492" s="34"/>
      <c r="B492" s="34"/>
      <c r="C492" s="35"/>
      <c r="D492" s="34"/>
      <c r="E492" s="36"/>
      <c r="F492" s="10"/>
      <c r="H492" s="21"/>
      <c r="I492" s="31"/>
      <c r="J492" s="13"/>
    </row>
    <row r="493">
      <c r="A493" s="34"/>
      <c r="B493" s="34"/>
      <c r="C493" s="35"/>
      <c r="D493" s="34"/>
      <c r="E493" s="36"/>
      <c r="F493" s="10"/>
      <c r="H493" s="21"/>
      <c r="I493" s="31"/>
      <c r="J493" s="13"/>
    </row>
    <row r="494">
      <c r="A494" s="34"/>
      <c r="B494" s="34"/>
      <c r="C494" s="35"/>
      <c r="D494" s="34"/>
      <c r="E494" s="36"/>
      <c r="F494" s="10"/>
      <c r="H494" s="21"/>
      <c r="I494" s="31"/>
      <c r="J494" s="13"/>
    </row>
    <row r="495">
      <c r="A495" s="34"/>
      <c r="B495" s="34"/>
      <c r="C495" s="35"/>
      <c r="D495" s="34"/>
      <c r="E495" s="36"/>
      <c r="F495" s="10"/>
      <c r="H495" s="21"/>
      <c r="I495" s="31"/>
      <c r="J495" s="13"/>
    </row>
    <row r="496">
      <c r="A496" s="34"/>
      <c r="B496" s="34"/>
      <c r="C496" s="35"/>
      <c r="D496" s="34"/>
      <c r="E496" s="36"/>
      <c r="F496" s="10"/>
      <c r="H496" s="21"/>
      <c r="I496" s="31"/>
      <c r="J496" s="13"/>
    </row>
    <row r="497">
      <c r="A497" s="34"/>
      <c r="B497" s="34"/>
      <c r="C497" s="35"/>
      <c r="D497" s="34"/>
      <c r="E497" s="36"/>
      <c r="F497" s="10"/>
      <c r="H497" s="21"/>
      <c r="I497" s="31"/>
      <c r="J497" s="13"/>
    </row>
    <row r="498">
      <c r="A498" s="34"/>
      <c r="B498" s="34"/>
      <c r="C498" s="35"/>
      <c r="D498" s="34"/>
      <c r="E498" s="36"/>
      <c r="F498" s="10"/>
      <c r="H498" s="21"/>
      <c r="I498" s="31"/>
      <c r="J498" s="13"/>
    </row>
    <row r="499">
      <c r="A499" s="34"/>
      <c r="B499" s="34"/>
      <c r="C499" s="35"/>
      <c r="D499" s="34"/>
      <c r="E499" s="36"/>
      <c r="F499" s="10"/>
      <c r="H499" s="21"/>
      <c r="I499" s="31"/>
      <c r="J499" s="13"/>
    </row>
    <row r="500">
      <c r="A500" s="34"/>
      <c r="B500" s="34"/>
      <c r="C500" s="35"/>
      <c r="D500" s="34"/>
      <c r="E500" s="36"/>
      <c r="F500" s="10"/>
      <c r="H500" s="21"/>
      <c r="I500" s="31"/>
      <c r="J500" s="13"/>
    </row>
    <row r="501">
      <c r="A501" s="68"/>
      <c r="B501" s="68"/>
      <c r="C501" s="29"/>
      <c r="D501" s="68"/>
      <c r="E501" s="36"/>
      <c r="F501" s="10"/>
      <c r="H501" s="21"/>
      <c r="I501" s="31"/>
      <c r="J501" s="13"/>
    </row>
    <row r="502">
      <c r="A502" s="34"/>
      <c r="B502" s="34"/>
      <c r="C502" s="35"/>
      <c r="D502" s="34"/>
      <c r="E502" s="36"/>
      <c r="F502" s="10"/>
      <c r="H502" s="21"/>
      <c r="I502" s="31"/>
      <c r="J502" s="13"/>
    </row>
    <row r="503">
      <c r="A503" s="34"/>
      <c r="B503" s="34"/>
      <c r="C503" s="35"/>
      <c r="D503" s="34"/>
      <c r="E503" s="36"/>
      <c r="F503" s="10"/>
      <c r="H503" s="21"/>
      <c r="I503" s="31"/>
      <c r="J503" s="13"/>
    </row>
    <row r="504">
      <c r="A504" s="34"/>
      <c r="B504" s="34"/>
      <c r="C504" s="35"/>
      <c r="D504" s="34"/>
      <c r="E504" s="36"/>
      <c r="F504" s="10"/>
      <c r="H504" s="21"/>
      <c r="I504" s="31"/>
      <c r="J504" s="13"/>
    </row>
    <row r="505">
      <c r="A505" s="34"/>
      <c r="B505" s="34"/>
      <c r="C505" s="35"/>
      <c r="D505" s="34"/>
      <c r="E505" s="36"/>
      <c r="F505" s="10"/>
      <c r="H505" s="21"/>
      <c r="I505" s="31"/>
      <c r="J505" s="13"/>
    </row>
    <row r="506">
      <c r="A506" s="34"/>
      <c r="B506" s="34"/>
      <c r="C506" s="35"/>
      <c r="D506" s="34"/>
      <c r="E506" s="36"/>
      <c r="F506" s="10"/>
      <c r="H506" s="21"/>
      <c r="I506" s="31"/>
      <c r="J506" s="13"/>
    </row>
    <row r="507">
      <c r="A507" s="34"/>
      <c r="B507" s="34"/>
      <c r="C507" s="35"/>
      <c r="D507" s="34"/>
      <c r="E507" s="36"/>
      <c r="F507" s="10"/>
      <c r="H507" s="21"/>
      <c r="I507" s="31"/>
      <c r="J507" s="13"/>
    </row>
    <row r="508">
      <c r="A508" s="34"/>
      <c r="B508" s="34"/>
      <c r="C508" s="35"/>
      <c r="D508" s="34"/>
      <c r="E508" s="36"/>
      <c r="F508" s="10"/>
      <c r="H508" s="21"/>
      <c r="I508" s="31"/>
      <c r="J508" s="13"/>
    </row>
    <row r="509">
      <c r="A509" s="34"/>
      <c r="B509" s="34"/>
      <c r="C509" s="35"/>
      <c r="D509" s="34"/>
      <c r="E509" s="36"/>
      <c r="F509" s="10"/>
      <c r="H509" s="21"/>
      <c r="I509" s="31"/>
      <c r="J509" s="13"/>
    </row>
    <row r="510">
      <c r="A510" s="34"/>
      <c r="B510" s="34"/>
      <c r="C510" s="35"/>
      <c r="D510" s="34"/>
      <c r="E510" s="36"/>
      <c r="F510" s="10"/>
      <c r="H510" s="21"/>
      <c r="I510" s="31"/>
      <c r="J510" s="13"/>
    </row>
    <row r="511">
      <c r="A511" s="34"/>
      <c r="B511" s="34"/>
      <c r="C511" s="35"/>
      <c r="D511" s="34"/>
      <c r="E511" s="36"/>
      <c r="F511" s="10"/>
      <c r="H511" s="21"/>
      <c r="I511" s="31"/>
      <c r="J511" s="13"/>
    </row>
    <row r="512">
      <c r="A512" s="34"/>
      <c r="B512" s="34"/>
      <c r="C512" s="35"/>
      <c r="D512" s="34"/>
      <c r="E512" s="36"/>
      <c r="F512" s="10"/>
      <c r="H512" s="21"/>
      <c r="I512" s="31"/>
      <c r="J512" s="13"/>
    </row>
    <row r="513">
      <c r="A513" s="34"/>
      <c r="B513" s="34"/>
      <c r="C513" s="35"/>
      <c r="D513" s="34"/>
      <c r="E513" s="36"/>
      <c r="F513" s="10"/>
      <c r="H513" s="21"/>
      <c r="I513" s="31"/>
      <c r="J513" s="13"/>
    </row>
    <row r="514">
      <c r="A514" s="34"/>
      <c r="B514" s="34"/>
      <c r="C514" s="35"/>
      <c r="D514" s="34"/>
      <c r="E514" s="36"/>
      <c r="F514" s="10"/>
      <c r="H514" s="21"/>
      <c r="I514" s="31"/>
      <c r="J514" s="13"/>
    </row>
    <row r="515">
      <c r="A515" s="28"/>
      <c r="B515" s="28"/>
      <c r="C515" s="29"/>
      <c r="D515" s="28"/>
      <c r="E515" s="30"/>
      <c r="F515" s="10"/>
      <c r="H515" s="21"/>
      <c r="I515" s="31"/>
      <c r="J515" s="13"/>
    </row>
    <row r="516">
      <c r="A516" s="28"/>
      <c r="B516" s="28"/>
      <c r="C516" s="29"/>
      <c r="D516" s="28"/>
      <c r="E516" s="30"/>
      <c r="F516" s="10"/>
      <c r="H516" s="21"/>
      <c r="I516" s="31"/>
      <c r="J516" s="13"/>
    </row>
    <row r="517">
      <c r="A517" s="2"/>
      <c r="B517" s="84"/>
      <c r="C517" s="4"/>
      <c r="D517" s="84"/>
      <c r="E517" s="5"/>
      <c r="F517" s="10"/>
      <c r="H517" s="21"/>
      <c r="I517" s="31"/>
      <c r="J517" s="13"/>
    </row>
    <row r="518">
      <c r="A518" s="14"/>
      <c r="B518" s="85"/>
      <c r="C518" s="4"/>
      <c r="D518" s="85"/>
      <c r="E518" s="5"/>
      <c r="F518" s="10"/>
      <c r="H518" s="21"/>
      <c r="I518" s="31"/>
      <c r="J518" s="13"/>
    </row>
    <row r="519">
      <c r="A519" s="2"/>
      <c r="B519" s="2"/>
      <c r="C519" s="4"/>
      <c r="D519" s="2"/>
      <c r="E519" s="5"/>
      <c r="F519" s="10"/>
      <c r="H519" s="21"/>
      <c r="I519" s="31"/>
      <c r="J519" s="13"/>
    </row>
    <row r="520">
      <c r="A520" s="20"/>
      <c r="B520" s="20"/>
      <c r="C520" s="4"/>
      <c r="D520" s="20"/>
      <c r="E520" s="5"/>
      <c r="F520" s="10"/>
      <c r="H520" s="21"/>
      <c r="I520" s="31"/>
      <c r="J520" s="13"/>
    </row>
    <row r="521">
      <c r="A521" s="88"/>
      <c r="B521" s="88"/>
      <c r="C521" s="23"/>
      <c r="D521" s="88"/>
      <c r="E521" s="24"/>
      <c r="F521" s="10"/>
      <c r="H521" s="21"/>
      <c r="I521" s="31"/>
      <c r="J521" s="13"/>
    </row>
    <row r="522">
      <c r="A522" s="28"/>
      <c r="B522" s="28"/>
      <c r="C522" s="29"/>
      <c r="D522" s="28"/>
      <c r="E522" s="30"/>
      <c r="F522" s="10"/>
      <c r="H522" s="21"/>
      <c r="I522" s="31"/>
      <c r="J522" s="13"/>
    </row>
    <row r="523">
      <c r="A523" s="32"/>
      <c r="B523" s="32"/>
      <c r="C523" s="33"/>
      <c r="D523" s="32"/>
      <c r="E523" s="33"/>
      <c r="F523" s="10"/>
      <c r="H523" s="21"/>
      <c r="I523" s="31"/>
      <c r="J523" s="13"/>
    </row>
    <row r="524">
      <c r="A524" s="34"/>
      <c r="B524" s="34"/>
      <c r="C524" s="35"/>
      <c r="D524" s="34"/>
      <c r="E524" s="36"/>
      <c r="F524" s="10"/>
      <c r="H524" s="21"/>
      <c r="I524" s="31"/>
      <c r="J524" s="13"/>
    </row>
    <row r="525">
      <c r="A525" s="34"/>
      <c r="B525" s="34"/>
      <c r="C525" s="35"/>
      <c r="D525" s="34"/>
      <c r="E525" s="36"/>
      <c r="F525" s="10"/>
      <c r="H525" s="21"/>
      <c r="I525" s="31"/>
      <c r="J525" s="13"/>
    </row>
    <row r="526">
      <c r="A526" s="34"/>
      <c r="B526" s="34"/>
      <c r="C526" s="35"/>
      <c r="D526" s="34"/>
      <c r="E526" s="36"/>
      <c r="F526" s="10"/>
      <c r="H526" s="21"/>
      <c r="I526" s="31"/>
      <c r="J526" s="13"/>
    </row>
    <row r="527">
      <c r="A527" s="34"/>
      <c r="B527" s="34"/>
      <c r="C527" s="35"/>
      <c r="D527" s="34"/>
      <c r="E527" s="36"/>
      <c r="F527" s="10"/>
      <c r="H527" s="21"/>
      <c r="I527" s="31"/>
      <c r="J527" s="13"/>
    </row>
    <row r="528">
      <c r="A528" s="41"/>
      <c r="B528" s="42"/>
      <c r="C528" s="35"/>
      <c r="D528" s="42"/>
      <c r="E528" s="36"/>
      <c r="F528" s="10"/>
      <c r="H528" s="21"/>
      <c r="I528" s="31"/>
      <c r="J528" s="13"/>
    </row>
    <row r="529">
      <c r="A529" s="34"/>
      <c r="B529" s="34"/>
      <c r="C529" s="35"/>
      <c r="D529" s="34"/>
      <c r="E529" s="36"/>
      <c r="F529" s="10"/>
      <c r="H529" s="21"/>
      <c r="I529" s="31"/>
      <c r="J529" s="13"/>
    </row>
    <row r="530">
      <c r="A530" s="68"/>
      <c r="B530" s="68"/>
      <c r="C530" s="35"/>
      <c r="D530" s="68"/>
      <c r="E530" s="36"/>
      <c r="F530" s="10"/>
      <c r="H530" s="21"/>
      <c r="I530" s="31"/>
      <c r="J530" s="13"/>
    </row>
    <row r="531">
      <c r="A531" s="34"/>
      <c r="B531" s="34"/>
      <c r="C531" s="35"/>
      <c r="D531" s="34"/>
      <c r="E531" s="36"/>
      <c r="F531" s="10"/>
      <c r="H531" s="21"/>
      <c r="I531" s="31"/>
      <c r="J531" s="13"/>
    </row>
    <row r="532">
      <c r="A532" s="34"/>
      <c r="B532" s="34"/>
      <c r="C532" s="35"/>
      <c r="D532" s="34"/>
      <c r="E532" s="36"/>
      <c r="F532" s="10"/>
      <c r="H532" s="21"/>
      <c r="I532" s="31"/>
      <c r="J532" s="13"/>
    </row>
    <row r="533">
      <c r="A533" s="34"/>
      <c r="B533" s="34"/>
      <c r="C533" s="35"/>
      <c r="D533" s="34"/>
      <c r="E533" s="36"/>
      <c r="F533" s="10"/>
      <c r="H533" s="21"/>
      <c r="I533" s="31"/>
      <c r="J533" s="13"/>
    </row>
    <row r="534">
      <c r="A534" s="34"/>
      <c r="B534" s="34"/>
      <c r="C534" s="35"/>
      <c r="D534" s="34"/>
      <c r="E534" s="36"/>
      <c r="F534" s="10"/>
      <c r="H534" s="21"/>
      <c r="I534" s="31"/>
      <c r="J534" s="13"/>
    </row>
    <row r="535">
      <c r="A535" s="34"/>
      <c r="B535" s="34"/>
      <c r="C535" s="35"/>
      <c r="D535" s="34"/>
      <c r="E535" s="53"/>
      <c r="F535" s="10"/>
      <c r="H535" s="21"/>
      <c r="I535" s="31"/>
      <c r="J535" s="13"/>
    </row>
    <row r="536">
      <c r="A536" s="34"/>
      <c r="B536" s="34"/>
      <c r="C536" s="35"/>
      <c r="D536" s="34"/>
      <c r="E536" s="36"/>
      <c r="F536" s="10"/>
      <c r="H536" s="21"/>
      <c r="I536" s="31"/>
      <c r="J536" s="13"/>
    </row>
    <row r="537">
      <c r="A537" s="34"/>
      <c r="B537" s="34"/>
      <c r="C537" s="35"/>
      <c r="D537" s="34"/>
      <c r="E537" s="36"/>
      <c r="F537" s="10"/>
      <c r="H537" s="21"/>
      <c r="I537" s="31"/>
      <c r="J537" s="13"/>
    </row>
    <row r="538">
      <c r="A538" s="34"/>
      <c r="B538" s="34"/>
      <c r="C538" s="35"/>
      <c r="D538" s="34"/>
      <c r="E538" s="36"/>
      <c r="F538" s="10"/>
      <c r="H538" s="21"/>
      <c r="I538" s="31"/>
      <c r="J538" s="13"/>
    </row>
    <row r="539">
      <c r="A539" s="34"/>
      <c r="B539" s="34"/>
      <c r="C539" s="35"/>
      <c r="D539" s="34"/>
      <c r="E539" s="36"/>
      <c r="F539" s="10"/>
      <c r="H539" s="21"/>
      <c r="I539" s="31"/>
      <c r="J539" s="13"/>
    </row>
    <row r="540">
      <c r="A540" s="34"/>
      <c r="B540" s="34"/>
      <c r="C540" s="35"/>
      <c r="D540" s="34"/>
      <c r="E540" s="36"/>
      <c r="F540" s="10"/>
      <c r="H540" s="21"/>
      <c r="I540" s="31"/>
      <c r="J540" s="13"/>
    </row>
    <row r="541">
      <c r="A541" s="34"/>
      <c r="B541" s="34"/>
      <c r="C541" s="35"/>
      <c r="D541" s="34"/>
      <c r="E541" s="36"/>
      <c r="F541" s="10"/>
      <c r="H541" s="21"/>
      <c r="I541" s="31"/>
      <c r="J541" s="13"/>
    </row>
    <row r="542">
      <c r="A542" s="34"/>
      <c r="B542" s="34"/>
      <c r="C542" s="35"/>
      <c r="D542" s="34"/>
      <c r="E542" s="36"/>
      <c r="F542" s="10"/>
      <c r="H542" s="21"/>
      <c r="I542" s="31"/>
      <c r="J542" s="13"/>
    </row>
    <row r="543">
      <c r="A543" s="34"/>
      <c r="B543" s="34"/>
      <c r="C543" s="35"/>
      <c r="D543" s="34"/>
      <c r="E543" s="36"/>
      <c r="F543" s="10"/>
      <c r="H543" s="21"/>
      <c r="I543" s="31"/>
      <c r="J543" s="13"/>
    </row>
    <row r="544">
      <c r="A544" s="34"/>
      <c r="B544" s="34"/>
      <c r="C544" s="35"/>
      <c r="D544" s="34"/>
      <c r="E544" s="36"/>
      <c r="F544" s="10"/>
      <c r="H544" s="21"/>
      <c r="I544" s="31"/>
      <c r="J544" s="13"/>
    </row>
    <row r="545">
      <c r="A545" s="34"/>
      <c r="B545" s="34"/>
      <c r="C545" s="35"/>
      <c r="D545" s="34"/>
      <c r="E545" s="36"/>
      <c r="F545" s="10"/>
      <c r="H545" s="21"/>
      <c r="I545" s="31"/>
      <c r="J545" s="13"/>
    </row>
    <row r="546">
      <c r="A546" s="34"/>
      <c r="B546" s="34"/>
      <c r="C546" s="35"/>
      <c r="D546" s="34"/>
      <c r="E546" s="36"/>
      <c r="F546" s="10"/>
      <c r="H546" s="21"/>
      <c r="I546" s="31"/>
      <c r="J546" s="13"/>
    </row>
    <row r="547">
      <c r="A547" s="34"/>
      <c r="B547" s="34"/>
      <c r="C547" s="35"/>
      <c r="D547" s="34"/>
      <c r="E547" s="36"/>
      <c r="F547" s="10"/>
      <c r="H547" s="21"/>
      <c r="I547" s="31"/>
      <c r="J547" s="13"/>
    </row>
    <row r="548">
      <c r="A548" s="34"/>
      <c r="B548" s="34"/>
      <c r="C548" s="35"/>
      <c r="D548" s="34"/>
      <c r="E548" s="36"/>
      <c r="F548" s="10"/>
      <c r="H548" s="21"/>
      <c r="I548" s="31"/>
      <c r="J548" s="13"/>
    </row>
    <row r="549">
      <c r="A549" s="34"/>
      <c r="B549" s="34"/>
      <c r="C549" s="35"/>
      <c r="D549" s="34"/>
      <c r="E549" s="36"/>
      <c r="F549" s="10"/>
      <c r="H549" s="21"/>
      <c r="I549" s="31"/>
      <c r="J549" s="13"/>
    </row>
    <row r="550">
      <c r="A550" s="34"/>
      <c r="B550" s="34"/>
      <c r="C550" s="35"/>
      <c r="D550" s="34"/>
      <c r="E550" s="36"/>
      <c r="F550" s="10"/>
      <c r="H550" s="21"/>
      <c r="I550" s="31"/>
      <c r="J550" s="13"/>
    </row>
    <row r="551">
      <c r="A551" s="34"/>
      <c r="B551" s="34"/>
      <c r="C551" s="35"/>
      <c r="D551" s="34"/>
      <c r="E551" s="53"/>
      <c r="F551" s="10"/>
      <c r="H551" s="21"/>
      <c r="I551" s="31"/>
      <c r="J551" s="13"/>
    </row>
    <row r="552">
      <c r="A552" s="34"/>
      <c r="B552" s="34"/>
      <c r="C552" s="35"/>
      <c r="D552" s="34"/>
      <c r="E552" s="53"/>
      <c r="F552" s="10"/>
      <c r="H552" s="21"/>
      <c r="I552" s="31"/>
      <c r="J552" s="13"/>
    </row>
    <row r="553">
      <c r="A553" s="34"/>
      <c r="B553" s="34"/>
      <c r="C553" s="35"/>
      <c r="D553" s="34"/>
      <c r="E553" s="36"/>
      <c r="F553" s="10"/>
      <c r="H553" s="21"/>
      <c r="I553" s="31"/>
      <c r="J553" s="13"/>
    </row>
    <row r="554">
      <c r="A554" s="34"/>
      <c r="B554" s="34"/>
      <c r="C554" s="35"/>
      <c r="D554" s="34"/>
      <c r="E554" s="53"/>
      <c r="F554" s="10"/>
      <c r="H554" s="21"/>
      <c r="I554" s="31"/>
      <c r="J554" s="13"/>
    </row>
    <row r="555">
      <c r="A555" s="34"/>
      <c r="B555" s="34"/>
      <c r="C555" s="35"/>
      <c r="D555" s="34"/>
      <c r="E555" s="53"/>
      <c r="F555" s="10"/>
      <c r="H555" s="21"/>
      <c r="I555" s="31"/>
      <c r="J555" s="13"/>
    </row>
    <row r="556">
      <c r="A556" s="34"/>
      <c r="B556" s="34"/>
      <c r="C556" s="35"/>
      <c r="D556" s="34"/>
      <c r="E556" s="53"/>
      <c r="F556" s="10"/>
      <c r="H556" s="21"/>
      <c r="I556" s="31"/>
      <c r="J556" s="13"/>
    </row>
    <row r="557">
      <c r="A557" s="34"/>
      <c r="B557" s="34"/>
      <c r="C557" s="35"/>
      <c r="D557" s="34"/>
      <c r="E557" s="53"/>
      <c r="F557" s="10"/>
      <c r="H557" s="21"/>
      <c r="I557" s="31"/>
      <c r="J557" s="13"/>
    </row>
    <row r="558">
      <c r="A558" s="34"/>
      <c r="B558" s="34"/>
      <c r="C558" s="35"/>
      <c r="D558" s="34"/>
      <c r="E558" s="53"/>
      <c r="F558" s="10"/>
      <c r="H558" s="21"/>
      <c r="I558" s="31"/>
      <c r="J558" s="13"/>
    </row>
    <row r="559">
      <c r="A559" s="34"/>
      <c r="B559" s="34"/>
      <c r="C559" s="35"/>
      <c r="D559" s="34"/>
      <c r="E559" s="53"/>
      <c r="F559" s="10"/>
      <c r="H559" s="21"/>
      <c r="I559" s="31"/>
      <c r="J559" s="13"/>
    </row>
    <row r="560">
      <c r="A560" s="34"/>
      <c r="B560" s="34"/>
      <c r="C560" s="35"/>
      <c r="D560" s="34"/>
      <c r="E560" s="53"/>
      <c r="F560" s="10"/>
      <c r="H560" s="21"/>
      <c r="I560" s="31"/>
      <c r="J560" s="13"/>
    </row>
    <row r="561">
      <c r="A561" s="34"/>
      <c r="B561" s="34"/>
      <c r="C561" s="35"/>
      <c r="D561" s="34"/>
      <c r="E561" s="53"/>
      <c r="F561" s="10"/>
      <c r="H561" s="21"/>
      <c r="I561" s="31"/>
      <c r="J561" s="13"/>
    </row>
    <row r="562">
      <c r="A562" s="34"/>
      <c r="B562" s="34"/>
      <c r="C562" s="35"/>
      <c r="D562" s="34"/>
      <c r="E562" s="53"/>
      <c r="F562" s="10"/>
      <c r="H562" s="21"/>
      <c r="I562" s="31"/>
      <c r="J562" s="13"/>
    </row>
    <row r="563">
      <c r="A563" s="34"/>
      <c r="B563" s="34"/>
      <c r="C563" s="35"/>
      <c r="D563" s="34"/>
      <c r="E563" s="36"/>
      <c r="F563" s="10"/>
      <c r="H563" s="21"/>
      <c r="I563" s="31"/>
      <c r="J563" s="13"/>
    </row>
    <row r="564">
      <c r="A564" s="34"/>
      <c r="B564" s="34"/>
      <c r="C564" s="35"/>
      <c r="D564" s="34"/>
      <c r="E564" s="36"/>
      <c r="F564" s="10"/>
      <c r="H564" s="21"/>
      <c r="I564" s="31"/>
      <c r="J564" s="13"/>
    </row>
    <row r="565">
      <c r="A565" s="34"/>
      <c r="B565" s="34"/>
      <c r="C565" s="35"/>
      <c r="D565" s="34"/>
      <c r="E565" s="36"/>
      <c r="F565" s="10"/>
      <c r="H565" s="21"/>
      <c r="I565" s="31"/>
      <c r="J565" s="13"/>
    </row>
    <row r="566">
      <c r="A566" s="34"/>
      <c r="B566" s="34"/>
      <c r="C566" s="35"/>
      <c r="D566" s="34"/>
      <c r="E566" s="36"/>
      <c r="F566" s="10"/>
      <c r="H566" s="21"/>
      <c r="I566" s="31"/>
      <c r="J566" s="13"/>
    </row>
    <row r="567">
      <c r="A567" s="34"/>
      <c r="B567" s="34"/>
      <c r="C567" s="35"/>
      <c r="D567" s="34"/>
      <c r="E567" s="36"/>
      <c r="F567" s="10"/>
      <c r="H567" s="21"/>
      <c r="I567" s="31"/>
      <c r="J567" s="13"/>
    </row>
    <row r="568">
      <c r="A568" s="34"/>
      <c r="B568" s="34"/>
      <c r="C568" s="35"/>
      <c r="D568" s="34"/>
      <c r="E568" s="53"/>
      <c r="F568" s="10"/>
      <c r="H568" s="21"/>
      <c r="I568" s="31"/>
      <c r="J568" s="13"/>
    </row>
    <row r="569">
      <c r="A569" s="34"/>
      <c r="B569" s="34"/>
      <c r="C569" s="35"/>
      <c r="D569" s="34"/>
      <c r="E569" s="36"/>
      <c r="F569" s="10"/>
      <c r="H569" s="21"/>
      <c r="I569" s="31"/>
      <c r="J569" s="13"/>
    </row>
    <row r="570">
      <c r="A570" s="34"/>
      <c r="B570" s="34"/>
      <c r="C570" s="35"/>
      <c r="D570" s="34"/>
      <c r="E570" s="36"/>
      <c r="F570" s="10"/>
      <c r="H570" s="21"/>
      <c r="I570" s="31"/>
      <c r="J570" s="13"/>
    </row>
    <row r="571">
      <c r="A571" s="34"/>
      <c r="B571" s="34"/>
      <c r="C571" s="35"/>
      <c r="D571" s="34"/>
      <c r="E571" s="36"/>
      <c r="F571" s="10"/>
      <c r="H571" s="21"/>
      <c r="I571" s="31"/>
      <c r="J571" s="13"/>
    </row>
    <row r="572">
      <c r="A572" s="34"/>
      <c r="B572" s="34"/>
      <c r="C572" s="35"/>
      <c r="D572" s="34"/>
      <c r="E572" s="36"/>
      <c r="F572" s="10"/>
      <c r="H572" s="21"/>
      <c r="I572" s="31"/>
      <c r="J572" s="13"/>
    </row>
    <row r="573">
      <c r="A573" s="34"/>
      <c r="B573" s="34"/>
      <c r="C573" s="35"/>
      <c r="D573" s="34"/>
      <c r="E573" s="36"/>
      <c r="F573" s="10"/>
      <c r="H573" s="21"/>
      <c r="I573" s="31"/>
      <c r="J573" s="13"/>
    </row>
    <row r="574">
      <c r="A574" s="34"/>
      <c r="B574" s="34"/>
      <c r="C574" s="35"/>
      <c r="D574" s="34"/>
      <c r="E574" s="36"/>
      <c r="F574" s="10"/>
      <c r="H574" s="21"/>
      <c r="I574" s="31"/>
      <c r="J574" s="13"/>
    </row>
    <row r="575">
      <c r="A575" s="34"/>
      <c r="B575" s="34"/>
      <c r="C575" s="35"/>
      <c r="D575" s="34"/>
      <c r="E575" s="36"/>
      <c r="F575" s="10"/>
      <c r="H575" s="21"/>
      <c r="I575" s="31"/>
      <c r="J575" s="13"/>
    </row>
    <row r="576">
      <c r="A576" s="34"/>
      <c r="B576" s="34"/>
      <c r="C576" s="35"/>
      <c r="D576" s="34"/>
      <c r="E576" s="36"/>
      <c r="F576" s="10"/>
      <c r="H576" s="21"/>
      <c r="I576" s="31"/>
      <c r="J576" s="13"/>
    </row>
    <row r="577">
      <c r="A577" s="34"/>
      <c r="B577" s="34"/>
      <c r="C577" s="35"/>
      <c r="D577" s="34"/>
      <c r="E577" s="36"/>
      <c r="F577" s="10"/>
      <c r="H577" s="21"/>
      <c r="I577" s="31"/>
      <c r="J577" s="13"/>
    </row>
    <row r="578">
      <c r="A578" s="34"/>
      <c r="B578" s="34"/>
      <c r="C578" s="35"/>
      <c r="D578" s="34"/>
      <c r="E578" s="36"/>
      <c r="F578" s="10"/>
      <c r="H578" s="21"/>
      <c r="I578" s="31"/>
      <c r="J578" s="13"/>
    </row>
    <row r="579">
      <c r="A579" s="34"/>
      <c r="B579" s="34"/>
      <c r="C579" s="35"/>
      <c r="D579" s="34"/>
      <c r="E579" s="36"/>
      <c r="F579" s="10"/>
      <c r="H579" s="21"/>
      <c r="I579" s="31"/>
      <c r="J579" s="13"/>
    </row>
    <row r="580">
      <c r="A580" s="34"/>
      <c r="B580" s="34"/>
      <c r="C580" s="35"/>
      <c r="D580" s="34"/>
      <c r="E580" s="36"/>
      <c r="F580" s="10"/>
      <c r="H580" s="21"/>
      <c r="I580" s="31"/>
      <c r="J580" s="13"/>
    </row>
    <row r="581">
      <c r="A581" s="34"/>
      <c r="B581" s="34"/>
      <c r="C581" s="35"/>
      <c r="D581" s="34"/>
      <c r="E581" s="36"/>
      <c r="F581" s="10"/>
      <c r="H581" s="21"/>
      <c r="I581" s="31"/>
      <c r="J581" s="13"/>
    </row>
    <row r="582">
      <c r="A582" s="34"/>
      <c r="B582" s="34"/>
      <c r="C582" s="35"/>
      <c r="D582" s="34"/>
      <c r="E582" s="36"/>
      <c r="F582" s="10"/>
      <c r="H582" s="21"/>
      <c r="I582" s="31"/>
      <c r="J582" s="13"/>
    </row>
    <row r="583">
      <c r="A583" s="34"/>
      <c r="B583" s="34"/>
      <c r="C583" s="35"/>
      <c r="D583" s="34"/>
      <c r="E583" s="36"/>
      <c r="F583" s="10"/>
      <c r="H583" s="21"/>
      <c r="I583" s="31"/>
      <c r="J583" s="13"/>
    </row>
    <row r="584">
      <c r="A584" s="34"/>
      <c r="B584" s="34"/>
      <c r="C584" s="35"/>
      <c r="D584" s="34"/>
      <c r="E584" s="36"/>
      <c r="F584" s="10"/>
      <c r="H584" s="21"/>
      <c r="I584" s="31"/>
      <c r="J584" s="13"/>
    </row>
    <row r="585">
      <c r="A585" s="34"/>
      <c r="B585" s="34"/>
      <c r="C585" s="35"/>
      <c r="D585" s="34"/>
      <c r="E585" s="36"/>
      <c r="F585" s="10"/>
      <c r="H585" s="21"/>
      <c r="I585" s="31"/>
      <c r="J585" s="13"/>
    </row>
    <row r="586">
      <c r="A586" s="34"/>
      <c r="B586" s="34"/>
      <c r="C586" s="35"/>
      <c r="D586" s="34"/>
      <c r="E586" s="36"/>
      <c r="F586" s="10"/>
      <c r="H586" s="21"/>
      <c r="I586" s="31"/>
      <c r="J586" s="13"/>
    </row>
    <row r="587">
      <c r="A587" s="34"/>
      <c r="B587" s="34"/>
      <c r="C587" s="35"/>
      <c r="D587" s="34"/>
      <c r="E587" s="36"/>
      <c r="F587" s="10"/>
      <c r="H587" s="21"/>
      <c r="I587" s="31"/>
      <c r="J587" s="13"/>
    </row>
    <row r="588">
      <c r="A588" s="34"/>
      <c r="B588" s="34"/>
      <c r="C588" s="35"/>
      <c r="D588" s="34"/>
      <c r="E588" s="36"/>
      <c r="F588" s="10"/>
      <c r="H588" s="21"/>
      <c r="I588" s="31"/>
      <c r="J588" s="13"/>
    </row>
    <row r="589">
      <c r="A589" s="34"/>
      <c r="B589" s="34"/>
      <c r="C589" s="35"/>
      <c r="D589" s="34"/>
      <c r="E589" s="36"/>
      <c r="F589" s="10"/>
      <c r="H589" s="21"/>
      <c r="I589" s="31"/>
      <c r="J589" s="13"/>
    </row>
    <row r="590">
      <c r="A590" s="34"/>
      <c r="B590" s="34"/>
      <c r="C590" s="35"/>
      <c r="D590" s="34"/>
      <c r="E590" s="36"/>
      <c r="F590" s="10"/>
      <c r="H590" s="21"/>
      <c r="I590" s="31"/>
      <c r="J590" s="13"/>
    </row>
    <row r="591">
      <c r="A591" s="34"/>
      <c r="B591" s="34"/>
      <c r="C591" s="35"/>
      <c r="D591" s="34"/>
      <c r="E591" s="36"/>
      <c r="F591" s="10"/>
      <c r="H591" s="21"/>
      <c r="I591" s="31"/>
      <c r="J591" s="13"/>
    </row>
    <row r="592">
      <c r="A592" s="34"/>
      <c r="B592" s="34"/>
      <c r="C592" s="35"/>
      <c r="D592" s="34"/>
      <c r="E592" s="36"/>
      <c r="F592" s="10"/>
      <c r="H592" s="21"/>
      <c r="I592" s="31"/>
      <c r="J592" s="13"/>
    </row>
    <row r="593">
      <c r="A593" s="34"/>
      <c r="B593" s="34"/>
      <c r="C593" s="35"/>
      <c r="D593" s="34"/>
      <c r="E593" s="36"/>
      <c r="F593" s="10"/>
      <c r="H593" s="21"/>
      <c r="I593" s="31"/>
      <c r="J593" s="13"/>
    </row>
    <row r="594">
      <c r="A594" s="34"/>
      <c r="B594" s="34"/>
      <c r="C594" s="35"/>
      <c r="D594" s="34"/>
      <c r="E594" s="36"/>
      <c r="F594" s="10"/>
      <c r="H594" s="21"/>
      <c r="I594" s="31"/>
      <c r="J594" s="13"/>
    </row>
    <row r="595">
      <c r="A595" s="34"/>
      <c r="B595" s="34"/>
      <c r="C595" s="35"/>
      <c r="D595" s="34"/>
      <c r="E595" s="36"/>
      <c r="F595" s="10"/>
      <c r="H595" s="21"/>
      <c r="I595" s="31"/>
      <c r="J595" s="13"/>
    </row>
    <row r="596">
      <c r="A596" s="34"/>
      <c r="B596" s="34"/>
      <c r="C596" s="35"/>
      <c r="D596" s="34"/>
      <c r="E596" s="36"/>
      <c r="F596" s="10"/>
      <c r="H596" s="21"/>
      <c r="I596" s="31"/>
      <c r="J596" s="13"/>
    </row>
    <row r="597">
      <c r="A597" s="34"/>
      <c r="B597" s="34"/>
      <c r="C597" s="35"/>
      <c r="D597" s="34"/>
      <c r="E597" s="36"/>
      <c r="F597" s="10"/>
      <c r="H597" s="21"/>
      <c r="I597" s="31"/>
      <c r="J597" s="13"/>
    </row>
    <row r="598">
      <c r="A598" s="34"/>
      <c r="B598" s="34"/>
      <c r="C598" s="35"/>
      <c r="D598" s="34"/>
      <c r="E598" s="36"/>
      <c r="F598" s="10"/>
      <c r="H598" s="21"/>
      <c r="I598" s="31"/>
      <c r="J598" s="13"/>
    </row>
    <row r="599">
      <c r="A599" s="34"/>
      <c r="B599" s="34"/>
      <c r="C599" s="35"/>
      <c r="D599" s="34"/>
      <c r="E599" s="36"/>
      <c r="F599" s="10"/>
      <c r="H599" s="21"/>
      <c r="I599" s="31"/>
      <c r="J599" s="13"/>
    </row>
    <row r="600">
      <c r="A600" s="34"/>
      <c r="B600" s="34"/>
      <c r="C600" s="35"/>
      <c r="D600" s="34"/>
      <c r="E600" s="36"/>
      <c r="F600" s="10"/>
      <c r="H600" s="21"/>
      <c r="I600" s="31"/>
      <c r="J600" s="13"/>
    </row>
    <row r="601">
      <c r="A601" s="34"/>
      <c r="B601" s="34"/>
      <c r="C601" s="35"/>
      <c r="D601" s="34"/>
      <c r="E601" s="36"/>
      <c r="F601" s="10"/>
      <c r="H601" s="21"/>
      <c r="I601" s="31"/>
      <c r="J601" s="13"/>
    </row>
    <row r="602">
      <c r="A602" s="34"/>
      <c r="B602" s="34"/>
      <c r="C602" s="35"/>
      <c r="D602" s="34"/>
      <c r="E602" s="64"/>
      <c r="F602" s="10"/>
      <c r="H602" s="21"/>
      <c r="I602" s="31"/>
      <c r="J602" s="13"/>
    </row>
    <row r="603">
      <c r="A603" s="34"/>
      <c r="B603" s="34"/>
      <c r="C603" s="35"/>
      <c r="D603" s="34"/>
      <c r="E603" s="64"/>
      <c r="F603" s="10"/>
      <c r="H603" s="21"/>
      <c r="I603" s="31"/>
      <c r="J603" s="13"/>
    </row>
    <row r="604">
      <c r="A604" s="34"/>
      <c r="B604" s="34"/>
      <c r="C604" s="35"/>
      <c r="D604" s="34"/>
      <c r="E604" s="64"/>
      <c r="F604" s="10"/>
      <c r="H604" s="21"/>
      <c r="I604" s="31"/>
      <c r="J604" s="13"/>
    </row>
    <row r="605">
      <c r="A605" s="34"/>
      <c r="B605" s="34"/>
      <c r="C605" s="35"/>
      <c r="D605" s="34"/>
      <c r="E605" s="36"/>
      <c r="F605" s="10"/>
      <c r="H605" s="21"/>
      <c r="I605" s="31"/>
      <c r="J605" s="13"/>
    </row>
    <row r="606">
      <c r="A606" s="34"/>
      <c r="B606" s="34"/>
      <c r="C606" s="35"/>
      <c r="D606" s="34"/>
      <c r="E606" s="36"/>
      <c r="F606" s="10"/>
      <c r="H606" s="21"/>
      <c r="I606" s="31"/>
      <c r="J606" s="13"/>
    </row>
    <row r="607">
      <c r="A607" s="34"/>
      <c r="B607" s="34"/>
      <c r="C607" s="35"/>
      <c r="D607" s="34"/>
      <c r="E607" s="64"/>
      <c r="F607" s="10"/>
      <c r="H607" s="21"/>
      <c r="I607" s="31"/>
      <c r="J607" s="13"/>
    </row>
    <row r="608">
      <c r="A608" s="34"/>
      <c r="B608" s="34"/>
      <c r="C608" s="35"/>
      <c r="D608" s="34"/>
      <c r="E608" s="53"/>
      <c r="F608" s="10"/>
      <c r="H608" s="21"/>
      <c r="I608" s="31"/>
      <c r="J608" s="13"/>
    </row>
    <row r="609">
      <c r="A609" s="34"/>
      <c r="B609" s="34"/>
      <c r="C609" s="35"/>
      <c r="D609" s="34"/>
      <c r="E609" s="36"/>
      <c r="F609" s="10"/>
      <c r="H609" s="21"/>
      <c r="I609" s="31"/>
      <c r="J609" s="13"/>
    </row>
    <row r="610">
      <c r="A610" s="34"/>
      <c r="B610" s="34"/>
      <c r="C610" s="35"/>
      <c r="D610" s="34"/>
      <c r="E610" s="36"/>
      <c r="F610" s="10"/>
      <c r="H610" s="21"/>
      <c r="I610" s="31"/>
      <c r="J610" s="13"/>
    </row>
    <row r="611">
      <c r="A611" s="34"/>
      <c r="B611" s="34"/>
      <c r="C611" s="35"/>
      <c r="D611" s="34"/>
      <c r="E611" s="36"/>
      <c r="F611" s="10"/>
      <c r="H611" s="21"/>
      <c r="I611" s="31"/>
      <c r="J611" s="13"/>
    </row>
    <row r="612">
      <c r="A612" s="34"/>
      <c r="B612" s="34"/>
      <c r="C612" s="35"/>
      <c r="D612" s="34"/>
      <c r="E612" s="36"/>
      <c r="F612" s="10"/>
      <c r="H612" s="21"/>
      <c r="I612" s="31"/>
      <c r="J612" s="13"/>
    </row>
    <row r="613">
      <c r="A613" s="34"/>
      <c r="B613" s="34"/>
      <c r="C613" s="35"/>
      <c r="D613" s="34"/>
      <c r="E613" s="36"/>
      <c r="F613" s="10"/>
      <c r="H613" s="21"/>
      <c r="I613" s="31"/>
      <c r="J613" s="13"/>
    </row>
    <row r="614">
      <c r="A614" s="34"/>
      <c r="B614" s="34"/>
      <c r="C614" s="35"/>
      <c r="D614" s="34"/>
      <c r="E614" s="36"/>
      <c r="F614" s="10"/>
      <c r="H614" s="21"/>
      <c r="I614" s="31"/>
      <c r="J614" s="13"/>
    </row>
    <row r="615">
      <c r="A615" s="68"/>
      <c r="B615" s="68"/>
      <c r="C615" s="35"/>
      <c r="D615" s="68"/>
      <c r="E615" s="36"/>
      <c r="F615" s="10"/>
      <c r="H615" s="21"/>
      <c r="I615" s="31"/>
      <c r="J615" s="13"/>
    </row>
    <row r="616">
      <c r="A616" s="34"/>
      <c r="B616" s="34"/>
      <c r="C616" s="35"/>
      <c r="D616" s="34"/>
      <c r="E616" s="36"/>
      <c r="F616" s="10"/>
      <c r="H616" s="21"/>
      <c r="I616" s="31"/>
      <c r="J616" s="13"/>
    </row>
    <row r="617">
      <c r="A617" s="68"/>
      <c r="B617" s="68"/>
      <c r="C617" s="35"/>
      <c r="D617" s="68"/>
      <c r="E617" s="36"/>
      <c r="F617" s="10"/>
      <c r="H617" s="21"/>
      <c r="I617" s="31"/>
      <c r="J617" s="13"/>
    </row>
    <row r="618">
      <c r="A618" s="34"/>
      <c r="B618" s="34"/>
      <c r="C618" s="35"/>
      <c r="D618" s="34"/>
      <c r="E618" s="36"/>
      <c r="F618" s="10"/>
      <c r="H618" s="21"/>
      <c r="I618" s="31"/>
      <c r="J618" s="13"/>
    </row>
    <row r="619">
      <c r="A619" s="34"/>
      <c r="B619" s="34"/>
      <c r="C619" s="35"/>
      <c r="D619" s="34"/>
      <c r="E619" s="36"/>
      <c r="F619" s="10"/>
      <c r="H619" s="21"/>
      <c r="I619" s="31"/>
      <c r="J619" s="13"/>
    </row>
    <row r="620">
      <c r="A620" s="34"/>
      <c r="B620" s="34"/>
      <c r="C620" s="35"/>
      <c r="D620" s="34"/>
      <c r="E620" s="36"/>
      <c r="F620" s="10"/>
      <c r="H620" s="21"/>
      <c r="I620" s="31"/>
      <c r="J620" s="13"/>
    </row>
    <row r="621">
      <c r="A621" s="34"/>
      <c r="B621" s="34"/>
      <c r="C621" s="35"/>
      <c r="D621" s="34"/>
      <c r="E621" s="36"/>
      <c r="F621" s="10"/>
      <c r="H621" s="21"/>
      <c r="I621" s="31"/>
      <c r="J621" s="13"/>
    </row>
    <row r="622">
      <c r="A622" s="34"/>
      <c r="B622" s="34"/>
      <c r="C622" s="35"/>
      <c r="D622" s="34"/>
      <c r="E622" s="36"/>
      <c r="F622" s="10"/>
      <c r="H622" s="21"/>
      <c r="I622" s="31"/>
      <c r="J622" s="13"/>
    </row>
    <row r="623">
      <c r="A623" s="34"/>
      <c r="B623" s="34"/>
      <c r="C623" s="35"/>
      <c r="D623" s="34"/>
      <c r="E623" s="36"/>
      <c r="F623" s="10"/>
      <c r="H623" s="21"/>
      <c r="I623" s="31"/>
      <c r="J623" s="13"/>
    </row>
    <row r="624">
      <c r="A624" s="34"/>
      <c r="B624" s="34"/>
      <c r="C624" s="35"/>
      <c r="D624" s="34"/>
      <c r="E624" s="36"/>
      <c r="F624" s="10"/>
      <c r="H624" s="21"/>
      <c r="I624" s="31"/>
      <c r="J624" s="13"/>
    </row>
    <row r="625">
      <c r="A625" s="34"/>
      <c r="B625" s="34"/>
      <c r="C625" s="35"/>
      <c r="D625" s="34"/>
      <c r="E625" s="36"/>
      <c r="F625" s="10"/>
      <c r="H625" s="21"/>
      <c r="I625" s="31"/>
      <c r="J625" s="13"/>
    </row>
    <row r="626">
      <c r="A626" s="34"/>
      <c r="B626" s="34"/>
      <c r="C626" s="35"/>
      <c r="D626" s="34"/>
      <c r="E626" s="36"/>
      <c r="F626" s="10"/>
      <c r="H626" s="21"/>
      <c r="I626" s="31"/>
      <c r="J626" s="13"/>
    </row>
    <row r="627">
      <c r="A627" s="34"/>
      <c r="B627" s="34"/>
      <c r="C627" s="35"/>
      <c r="D627" s="34"/>
      <c r="E627" s="36"/>
      <c r="F627" s="10"/>
      <c r="H627" s="21"/>
      <c r="I627" s="31"/>
      <c r="J627" s="13"/>
    </row>
    <row r="628">
      <c r="A628" s="34"/>
      <c r="B628" s="34"/>
      <c r="C628" s="35"/>
      <c r="D628" s="34"/>
      <c r="E628" s="36"/>
      <c r="F628" s="10"/>
      <c r="H628" s="21"/>
      <c r="I628" s="31"/>
      <c r="J628" s="13"/>
    </row>
    <row r="629">
      <c r="A629" s="34"/>
      <c r="B629" s="34"/>
      <c r="C629" s="35"/>
      <c r="D629" s="34"/>
      <c r="E629" s="36"/>
      <c r="F629" s="10"/>
      <c r="H629" s="21"/>
      <c r="I629" s="31"/>
      <c r="J629" s="13"/>
    </row>
    <row r="630">
      <c r="A630" s="34"/>
      <c r="B630" s="34"/>
      <c r="C630" s="35"/>
      <c r="D630" s="34"/>
      <c r="E630" s="36"/>
      <c r="F630" s="10"/>
      <c r="H630" s="21"/>
      <c r="I630" s="31"/>
      <c r="J630" s="13"/>
    </row>
    <row r="631">
      <c r="A631" s="34"/>
      <c r="B631" s="34"/>
      <c r="C631" s="35"/>
      <c r="D631" s="34"/>
      <c r="E631" s="36"/>
      <c r="F631" s="10"/>
      <c r="H631" s="21"/>
      <c r="I631" s="31"/>
      <c r="J631" s="13"/>
    </row>
    <row r="632">
      <c r="A632" s="34"/>
      <c r="B632" s="34"/>
      <c r="C632" s="35"/>
      <c r="D632" s="34"/>
      <c r="E632" s="36"/>
      <c r="F632" s="10"/>
      <c r="H632" s="21"/>
      <c r="I632" s="31"/>
      <c r="J632" s="13"/>
    </row>
    <row r="633">
      <c r="A633" s="34"/>
      <c r="B633" s="34"/>
      <c r="C633" s="35"/>
      <c r="D633" s="34"/>
      <c r="E633" s="36"/>
      <c r="F633" s="10"/>
      <c r="H633" s="21"/>
      <c r="I633" s="31"/>
      <c r="J633" s="13"/>
    </row>
    <row r="634">
      <c r="A634" s="34"/>
      <c r="B634" s="34"/>
      <c r="C634" s="35"/>
      <c r="D634" s="34"/>
      <c r="E634" s="36"/>
      <c r="F634" s="10"/>
      <c r="H634" s="21"/>
      <c r="I634" s="31"/>
      <c r="J634" s="13"/>
    </row>
    <row r="635">
      <c r="A635" s="34"/>
      <c r="B635" s="34"/>
      <c r="C635" s="35"/>
      <c r="D635" s="34"/>
      <c r="E635" s="33"/>
      <c r="F635" s="10"/>
      <c r="H635" s="21"/>
      <c r="I635" s="31"/>
      <c r="J635" s="13"/>
    </row>
    <row r="636">
      <c r="A636" s="34"/>
      <c r="B636" s="34"/>
      <c r="C636" s="35"/>
      <c r="D636" s="34"/>
      <c r="E636" s="36"/>
      <c r="F636" s="10"/>
      <c r="H636" s="21"/>
      <c r="I636" s="31"/>
      <c r="J636" s="13"/>
    </row>
    <row r="637">
      <c r="A637" s="34"/>
      <c r="B637" s="34"/>
      <c r="C637" s="35"/>
      <c r="D637" s="34"/>
      <c r="E637" s="36"/>
      <c r="F637" s="10"/>
      <c r="H637" s="21"/>
      <c r="I637" s="31"/>
      <c r="J637" s="13"/>
    </row>
    <row r="638">
      <c r="A638" s="34"/>
      <c r="B638" s="34"/>
      <c r="C638" s="35"/>
      <c r="D638" s="34"/>
      <c r="E638" s="36"/>
      <c r="F638" s="10"/>
      <c r="H638" s="21"/>
      <c r="I638" s="31"/>
      <c r="J638" s="13"/>
    </row>
    <row r="639">
      <c r="A639" s="34"/>
      <c r="B639" s="34"/>
      <c r="C639" s="35"/>
      <c r="D639" s="34"/>
      <c r="E639" s="36"/>
      <c r="F639" s="10"/>
      <c r="H639" s="21"/>
      <c r="I639" s="31"/>
      <c r="J639" s="13"/>
    </row>
    <row r="640">
      <c r="A640" s="34"/>
      <c r="B640" s="34"/>
      <c r="C640" s="35"/>
      <c r="D640" s="34"/>
      <c r="E640" s="36"/>
      <c r="F640" s="10"/>
      <c r="H640" s="21"/>
      <c r="I640" s="31"/>
      <c r="J640" s="13"/>
    </row>
    <row r="641">
      <c r="A641" s="34"/>
      <c r="B641" s="34"/>
      <c r="C641" s="35"/>
      <c r="D641" s="34"/>
      <c r="E641" s="36"/>
      <c r="F641" s="10"/>
      <c r="H641" s="21"/>
      <c r="I641" s="31"/>
      <c r="J641" s="13"/>
    </row>
    <row r="642">
      <c r="A642" s="34"/>
      <c r="B642" s="34"/>
      <c r="C642" s="35"/>
      <c r="D642" s="34"/>
      <c r="E642" s="36"/>
      <c r="F642" s="10"/>
      <c r="H642" s="21"/>
      <c r="I642" s="31"/>
      <c r="J642" s="13"/>
    </row>
    <row r="643">
      <c r="A643" s="34"/>
      <c r="B643" s="34"/>
      <c r="C643" s="35"/>
      <c r="D643" s="34"/>
      <c r="E643" s="36"/>
      <c r="F643" s="10"/>
      <c r="H643" s="21"/>
      <c r="I643" s="31"/>
      <c r="J643" s="13"/>
    </row>
    <row r="644">
      <c r="A644" s="34"/>
      <c r="B644" s="34"/>
      <c r="C644" s="35"/>
      <c r="D644" s="34"/>
      <c r="E644" s="36"/>
      <c r="F644" s="10"/>
      <c r="H644" s="21"/>
      <c r="I644" s="31"/>
      <c r="J644" s="13"/>
    </row>
    <row r="645">
      <c r="A645" s="34"/>
      <c r="B645" s="34"/>
      <c r="C645" s="35"/>
      <c r="D645" s="34"/>
      <c r="E645" s="36"/>
      <c r="F645" s="10"/>
      <c r="H645" s="21"/>
      <c r="I645" s="31"/>
      <c r="J645" s="13"/>
    </row>
    <row r="646">
      <c r="A646" s="68"/>
      <c r="B646" s="68"/>
      <c r="C646" s="35"/>
      <c r="D646" s="68"/>
      <c r="E646" s="36"/>
      <c r="F646" s="10"/>
      <c r="H646" s="21"/>
      <c r="I646" s="31"/>
      <c r="J646" s="13"/>
    </row>
    <row r="647">
      <c r="A647" s="68"/>
      <c r="B647" s="68"/>
      <c r="C647" s="35"/>
      <c r="D647" s="68"/>
      <c r="E647" s="36"/>
      <c r="F647" s="10"/>
      <c r="H647" s="21"/>
      <c r="I647" s="31"/>
      <c r="J647" s="13"/>
    </row>
    <row r="648">
      <c r="A648" s="34"/>
      <c r="B648" s="34"/>
      <c r="C648" s="35"/>
      <c r="D648" s="34"/>
      <c r="E648" s="36"/>
      <c r="F648" s="10"/>
      <c r="H648" s="21"/>
      <c r="I648" s="31"/>
      <c r="J648" s="13"/>
    </row>
    <row r="649">
      <c r="A649" s="68"/>
      <c r="B649" s="68"/>
      <c r="C649" s="35"/>
      <c r="D649" s="68"/>
      <c r="E649" s="36"/>
      <c r="F649" s="10"/>
      <c r="H649" s="21"/>
      <c r="I649" s="31"/>
      <c r="J649" s="13"/>
    </row>
    <row r="650">
      <c r="A650" s="34"/>
      <c r="B650" s="34"/>
      <c r="C650" s="35"/>
      <c r="D650" s="34"/>
      <c r="E650" s="36"/>
      <c r="F650" s="10"/>
      <c r="H650" s="21"/>
      <c r="I650" s="31"/>
      <c r="J650" s="13"/>
    </row>
    <row r="651">
      <c r="A651" s="34"/>
      <c r="B651" s="34"/>
      <c r="C651" s="35"/>
      <c r="D651" s="34"/>
      <c r="E651" s="36"/>
      <c r="F651" s="10"/>
      <c r="H651" s="21"/>
      <c r="I651" s="31"/>
      <c r="J651" s="13"/>
    </row>
    <row r="652">
      <c r="A652" s="34"/>
      <c r="B652" s="34"/>
      <c r="C652" s="35"/>
      <c r="D652" s="34"/>
      <c r="E652" s="36"/>
      <c r="F652" s="10"/>
      <c r="H652" s="21"/>
      <c r="I652" s="31"/>
      <c r="J652" s="13"/>
    </row>
    <row r="653">
      <c r="A653" s="34"/>
      <c r="B653" s="34"/>
      <c r="C653" s="35"/>
      <c r="D653" s="34"/>
      <c r="E653" s="36"/>
      <c r="F653" s="10"/>
      <c r="H653" s="21"/>
      <c r="I653" s="31"/>
      <c r="J653" s="13"/>
    </row>
    <row r="654">
      <c r="A654" s="34"/>
      <c r="B654" s="34"/>
      <c r="C654" s="35"/>
      <c r="D654" s="34"/>
      <c r="E654" s="36"/>
      <c r="F654" s="10"/>
      <c r="H654" s="21"/>
      <c r="I654" s="31"/>
      <c r="J654" s="13"/>
    </row>
    <row r="655">
      <c r="A655" s="34"/>
      <c r="B655" s="34"/>
      <c r="C655" s="35"/>
      <c r="D655" s="34"/>
      <c r="E655" s="36"/>
      <c r="F655" s="10"/>
      <c r="H655" s="21"/>
      <c r="I655" s="31"/>
      <c r="J655" s="13"/>
    </row>
    <row r="656">
      <c r="A656" s="34"/>
      <c r="B656" s="34"/>
      <c r="C656" s="35"/>
      <c r="D656" s="34"/>
      <c r="E656" s="36"/>
      <c r="F656" s="10"/>
      <c r="H656" s="21"/>
      <c r="I656" s="31"/>
      <c r="J656" s="13"/>
    </row>
    <row r="657">
      <c r="A657" s="34"/>
      <c r="B657" s="34"/>
      <c r="C657" s="35"/>
      <c r="D657" s="34"/>
      <c r="E657" s="36"/>
      <c r="F657" s="10"/>
      <c r="H657" s="21"/>
      <c r="I657" s="31"/>
      <c r="J657" s="13"/>
    </row>
    <row r="658">
      <c r="A658" s="34"/>
      <c r="B658" s="34"/>
      <c r="C658" s="35"/>
      <c r="D658" s="34"/>
      <c r="E658" s="36"/>
      <c r="F658" s="10"/>
      <c r="H658" s="21"/>
      <c r="I658" s="31"/>
      <c r="J658" s="13"/>
    </row>
    <row r="659">
      <c r="A659" s="34"/>
      <c r="B659" s="34"/>
      <c r="C659" s="35"/>
      <c r="D659" s="34"/>
      <c r="E659" s="36"/>
      <c r="F659" s="10"/>
      <c r="H659" s="21"/>
      <c r="I659" s="31"/>
      <c r="J659" s="13"/>
    </row>
    <row r="660">
      <c r="A660" s="34"/>
      <c r="B660" s="34"/>
      <c r="C660" s="35"/>
      <c r="D660" s="34"/>
      <c r="E660" s="36"/>
      <c r="F660" s="10"/>
      <c r="H660" s="21"/>
      <c r="I660" s="31"/>
      <c r="J660" s="13"/>
    </row>
    <row r="661">
      <c r="A661" s="34"/>
      <c r="B661" s="34"/>
      <c r="C661" s="35"/>
      <c r="D661" s="34"/>
      <c r="E661" s="36"/>
      <c r="F661" s="10"/>
      <c r="H661" s="21"/>
      <c r="I661" s="31"/>
      <c r="J661" s="13"/>
    </row>
    <row r="662">
      <c r="A662" s="68"/>
      <c r="B662" s="68"/>
      <c r="C662" s="29"/>
      <c r="D662" s="68"/>
      <c r="E662" s="36"/>
      <c r="F662" s="10"/>
      <c r="H662" s="21"/>
      <c r="I662" s="31"/>
      <c r="J662" s="13"/>
    </row>
    <row r="663">
      <c r="A663" s="34"/>
      <c r="B663" s="34"/>
      <c r="C663" s="35"/>
      <c r="D663" s="34"/>
      <c r="E663" s="36"/>
      <c r="F663" s="10"/>
      <c r="H663" s="21"/>
      <c r="I663" s="31"/>
      <c r="J663" s="13"/>
    </row>
    <row r="664">
      <c r="A664" s="34"/>
      <c r="B664" s="34"/>
      <c r="C664" s="35"/>
      <c r="D664" s="34"/>
      <c r="E664" s="36"/>
      <c r="F664" s="10"/>
      <c r="H664" s="21"/>
      <c r="I664" s="31"/>
      <c r="J664" s="13"/>
    </row>
    <row r="665">
      <c r="A665" s="34"/>
      <c r="B665" s="34"/>
      <c r="C665" s="35"/>
      <c r="D665" s="34"/>
      <c r="E665" s="36"/>
      <c r="F665" s="10"/>
      <c r="H665" s="21"/>
      <c r="I665" s="31"/>
      <c r="J665" s="13"/>
    </row>
    <row r="666">
      <c r="A666" s="34"/>
      <c r="B666" s="34"/>
      <c r="C666" s="35"/>
      <c r="D666" s="34"/>
      <c r="E666" s="36"/>
      <c r="F666" s="10"/>
      <c r="H666" s="21"/>
      <c r="I666" s="31"/>
      <c r="J666" s="13"/>
    </row>
    <row r="667">
      <c r="A667" s="34"/>
      <c r="B667" s="34"/>
      <c r="C667" s="35"/>
      <c r="D667" s="34"/>
      <c r="E667" s="36"/>
      <c r="F667" s="10"/>
      <c r="H667" s="21"/>
      <c r="I667" s="31"/>
      <c r="J667" s="13"/>
    </row>
    <row r="668">
      <c r="A668" s="34"/>
      <c r="B668" s="34"/>
      <c r="C668" s="35"/>
      <c r="D668" s="34"/>
      <c r="E668" s="36"/>
      <c r="F668" s="10"/>
      <c r="H668" s="21"/>
      <c r="I668" s="31"/>
      <c r="J668" s="13"/>
    </row>
    <row r="669">
      <c r="A669" s="34"/>
      <c r="B669" s="34"/>
      <c r="C669" s="35"/>
      <c r="D669" s="34"/>
      <c r="E669" s="36"/>
      <c r="F669" s="10"/>
      <c r="H669" s="21"/>
      <c r="I669" s="31"/>
      <c r="J669" s="13"/>
    </row>
    <row r="670">
      <c r="A670" s="34"/>
      <c r="B670" s="34"/>
      <c r="C670" s="35"/>
      <c r="D670" s="34"/>
      <c r="E670" s="36"/>
      <c r="F670" s="10"/>
      <c r="H670" s="21"/>
      <c r="I670" s="31"/>
      <c r="J670" s="13"/>
    </row>
    <row r="671">
      <c r="A671" s="34"/>
      <c r="B671" s="34"/>
      <c r="C671" s="35"/>
      <c r="D671" s="34"/>
      <c r="E671" s="36"/>
      <c r="F671" s="10"/>
      <c r="H671" s="21"/>
      <c r="I671" s="31"/>
      <c r="J671" s="13"/>
    </row>
    <row r="672">
      <c r="A672" s="34"/>
      <c r="B672" s="34"/>
      <c r="C672" s="35"/>
      <c r="D672" s="34"/>
      <c r="E672" s="36"/>
      <c r="F672" s="10"/>
      <c r="H672" s="21"/>
      <c r="I672" s="31"/>
      <c r="J672" s="13"/>
    </row>
    <row r="673">
      <c r="A673" s="68"/>
      <c r="B673" s="68"/>
      <c r="C673" s="29"/>
      <c r="D673" s="68"/>
      <c r="E673" s="36"/>
      <c r="F673" s="10"/>
      <c r="H673" s="21"/>
      <c r="I673" s="31"/>
      <c r="J673" s="13"/>
    </row>
    <row r="674">
      <c r="A674" s="34"/>
      <c r="B674" s="34"/>
      <c r="C674" s="35"/>
      <c r="D674" s="34"/>
      <c r="E674" s="36"/>
      <c r="F674" s="10"/>
      <c r="H674" s="21"/>
      <c r="I674" s="31"/>
      <c r="J674" s="13"/>
    </row>
    <row r="675">
      <c r="A675" s="34"/>
      <c r="B675" s="34"/>
      <c r="C675" s="35"/>
      <c r="D675" s="34"/>
      <c r="E675" s="36"/>
      <c r="F675" s="10"/>
      <c r="H675" s="21"/>
      <c r="I675" s="31"/>
      <c r="J675" s="13"/>
    </row>
    <row r="676">
      <c r="A676" s="34"/>
      <c r="B676" s="34"/>
      <c r="C676" s="35"/>
      <c r="D676" s="34"/>
      <c r="E676" s="36"/>
      <c r="F676" s="10"/>
      <c r="H676" s="21"/>
      <c r="I676" s="31"/>
      <c r="J676" s="13"/>
    </row>
    <row r="677">
      <c r="A677" s="34"/>
      <c r="B677" s="34"/>
      <c r="C677" s="35"/>
      <c r="D677" s="34"/>
      <c r="E677" s="36"/>
      <c r="F677" s="10"/>
      <c r="H677" s="21"/>
      <c r="I677" s="31"/>
      <c r="J677" s="13"/>
    </row>
    <row r="678">
      <c r="A678" s="34"/>
      <c r="B678" s="34"/>
      <c r="C678" s="35"/>
      <c r="D678" s="34"/>
      <c r="E678" s="36"/>
      <c r="F678" s="10"/>
      <c r="H678" s="21"/>
      <c r="I678" s="31"/>
      <c r="J678" s="13"/>
    </row>
    <row r="679">
      <c r="A679" s="34"/>
      <c r="B679" s="34"/>
      <c r="C679" s="35"/>
      <c r="D679" s="34"/>
      <c r="E679" s="36"/>
      <c r="F679" s="10"/>
      <c r="H679" s="21"/>
      <c r="I679" s="31"/>
      <c r="J679" s="13"/>
    </row>
    <row r="680">
      <c r="A680" s="34"/>
      <c r="B680" s="34"/>
      <c r="C680" s="35"/>
      <c r="D680" s="34"/>
      <c r="E680" s="36"/>
      <c r="F680" s="10"/>
      <c r="H680" s="21"/>
      <c r="I680" s="31"/>
      <c r="J680" s="13"/>
    </row>
    <row r="681">
      <c r="A681" s="34"/>
      <c r="B681" s="34"/>
      <c r="C681" s="35"/>
      <c r="D681" s="34"/>
      <c r="E681" s="36"/>
      <c r="F681" s="10"/>
      <c r="H681" s="21"/>
      <c r="I681" s="31"/>
      <c r="J681" s="13"/>
    </row>
    <row r="682">
      <c r="A682" s="34"/>
      <c r="B682" s="34"/>
      <c r="C682" s="35"/>
      <c r="D682" s="34"/>
      <c r="E682" s="36"/>
      <c r="F682" s="10"/>
      <c r="H682" s="21"/>
      <c r="I682" s="31"/>
      <c r="J682" s="13"/>
    </row>
    <row r="683">
      <c r="A683" s="34"/>
      <c r="B683" s="34"/>
      <c r="C683" s="35"/>
      <c r="D683" s="34"/>
      <c r="E683" s="36"/>
      <c r="F683" s="10"/>
      <c r="H683" s="21"/>
      <c r="I683" s="31"/>
      <c r="J683" s="13"/>
    </row>
    <row r="684">
      <c r="A684" s="34"/>
      <c r="B684" s="34"/>
      <c r="C684" s="35"/>
      <c r="D684" s="34"/>
      <c r="E684" s="36"/>
      <c r="F684" s="10"/>
      <c r="H684" s="21"/>
      <c r="I684" s="31"/>
      <c r="J684" s="13"/>
    </row>
    <row r="685">
      <c r="A685" s="34"/>
      <c r="B685" s="34"/>
      <c r="C685" s="35"/>
      <c r="D685" s="34"/>
      <c r="E685" s="36"/>
      <c r="F685" s="10"/>
      <c r="H685" s="21"/>
      <c r="I685" s="31"/>
      <c r="J685" s="13"/>
    </row>
    <row r="686">
      <c r="A686" s="34"/>
      <c r="B686" s="34"/>
      <c r="C686" s="35"/>
      <c r="D686" s="34"/>
      <c r="E686" s="36"/>
      <c r="F686" s="10"/>
      <c r="H686" s="21"/>
      <c r="I686" s="31"/>
      <c r="J686" s="13"/>
    </row>
    <row r="687">
      <c r="A687" s="28"/>
      <c r="B687" s="28"/>
      <c r="C687" s="29"/>
      <c r="D687" s="28"/>
      <c r="E687" s="30"/>
      <c r="F687" s="10"/>
      <c r="H687" s="21"/>
      <c r="I687" s="31"/>
      <c r="J687" s="13"/>
    </row>
    <row r="688">
      <c r="A688" s="28"/>
      <c r="B688" s="28"/>
      <c r="C688" s="29"/>
      <c r="D688" s="28"/>
      <c r="E688" s="30"/>
      <c r="F688" s="10"/>
      <c r="H688" s="21"/>
      <c r="I688" s="31"/>
      <c r="J688" s="13"/>
    </row>
    <row r="689">
      <c r="A689" s="2"/>
      <c r="B689" s="84"/>
      <c r="C689" s="4"/>
      <c r="D689" s="84"/>
      <c r="E689" s="5"/>
      <c r="F689" s="10"/>
      <c r="H689" s="21"/>
      <c r="I689" s="31"/>
      <c r="J689" s="13"/>
    </row>
    <row r="690">
      <c r="A690" s="14"/>
      <c r="B690" s="85"/>
      <c r="C690" s="4"/>
      <c r="D690" s="85"/>
      <c r="E690" s="5"/>
      <c r="F690" s="10"/>
      <c r="H690" s="21"/>
      <c r="I690" s="31"/>
      <c r="J690" s="13"/>
    </row>
    <row r="691">
      <c r="A691" s="2"/>
      <c r="B691" s="2"/>
      <c r="C691" s="4"/>
      <c r="D691" s="2"/>
      <c r="E691" s="5"/>
      <c r="F691" s="10"/>
      <c r="H691" s="21"/>
      <c r="I691" s="31"/>
      <c r="J691" s="13"/>
    </row>
    <row r="692">
      <c r="A692" s="20"/>
      <c r="B692" s="20"/>
      <c r="C692" s="4"/>
      <c r="D692" s="20"/>
      <c r="E692" s="5"/>
      <c r="F692" s="10"/>
      <c r="H692" s="21"/>
      <c r="I692" s="31"/>
      <c r="J692" s="13"/>
    </row>
    <row r="693">
      <c r="A693" s="88"/>
      <c r="B693" s="88"/>
      <c r="C693" s="23"/>
      <c r="D693" s="88"/>
      <c r="E693" s="24"/>
      <c r="F693" s="10"/>
      <c r="H693" s="21"/>
      <c r="I693" s="31"/>
      <c r="J693" s="13"/>
    </row>
    <row r="694">
      <c r="A694" s="28"/>
      <c r="B694" s="28"/>
      <c r="C694" s="29"/>
      <c r="D694" s="28"/>
      <c r="E694" s="30"/>
      <c r="F694" s="10"/>
      <c r="H694" s="21"/>
      <c r="I694" s="31"/>
      <c r="J694" s="13"/>
    </row>
    <row r="695">
      <c r="A695" s="32"/>
      <c r="B695" s="32"/>
      <c r="C695" s="33"/>
      <c r="D695" s="32"/>
      <c r="E695" s="33"/>
      <c r="F695" s="10"/>
      <c r="H695" s="21"/>
      <c r="I695" s="31"/>
      <c r="J695" s="13"/>
    </row>
    <row r="696">
      <c r="A696" s="34"/>
      <c r="B696" s="34"/>
      <c r="C696" s="35"/>
      <c r="D696" s="34"/>
      <c r="E696" s="36"/>
      <c r="F696" s="10"/>
      <c r="H696" s="21"/>
      <c r="I696" s="31"/>
      <c r="J696" s="13"/>
    </row>
    <row r="697">
      <c r="A697" s="34"/>
      <c r="B697" s="34"/>
      <c r="C697" s="35"/>
      <c r="D697" s="34"/>
      <c r="E697" s="36"/>
      <c r="F697" s="10"/>
      <c r="H697" s="21"/>
      <c r="I697" s="31"/>
      <c r="J697" s="13"/>
    </row>
    <row r="698">
      <c r="A698" s="34"/>
      <c r="B698" s="34"/>
      <c r="C698" s="35"/>
      <c r="D698" s="34"/>
      <c r="E698" s="36"/>
      <c r="F698" s="10"/>
      <c r="H698" s="21"/>
      <c r="I698" s="31"/>
      <c r="J698" s="13"/>
    </row>
    <row r="699">
      <c r="A699" s="34"/>
      <c r="B699" s="34"/>
      <c r="C699" s="35"/>
      <c r="D699" s="34"/>
      <c r="E699" s="36"/>
      <c r="F699" s="10"/>
      <c r="H699" s="21"/>
      <c r="I699" s="31"/>
      <c r="J699" s="13"/>
    </row>
    <row r="700">
      <c r="A700" s="41"/>
      <c r="B700" s="42"/>
      <c r="C700" s="35"/>
      <c r="D700" s="42"/>
      <c r="E700" s="36"/>
      <c r="F700" s="10"/>
      <c r="H700" s="21"/>
      <c r="I700" s="31"/>
      <c r="J700" s="13"/>
    </row>
    <row r="701">
      <c r="A701" s="34"/>
      <c r="B701" s="34"/>
      <c r="C701" s="35"/>
      <c r="D701" s="34"/>
      <c r="E701" s="36"/>
      <c r="F701" s="10"/>
      <c r="H701" s="21"/>
      <c r="I701" s="31"/>
      <c r="J701" s="13"/>
    </row>
    <row r="702">
      <c r="A702" s="68"/>
      <c r="B702" s="68"/>
      <c r="C702" s="35"/>
      <c r="D702" s="68"/>
      <c r="E702" s="36"/>
      <c r="F702" s="10"/>
      <c r="H702" s="21"/>
      <c r="I702" s="31"/>
      <c r="J702" s="13"/>
    </row>
    <row r="703">
      <c r="A703" s="34"/>
      <c r="B703" s="34"/>
      <c r="C703" s="35"/>
      <c r="D703" s="34"/>
      <c r="E703" s="36"/>
      <c r="F703" s="10"/>
      <c r="H703" s="21"/>
      <c r="I703" s="31"/>
      <c r="J703" s="13"/>
    </row>
    <row r="704">
      <c r="A704" s="34"/>
      <c r="B704" s="34"/>
      <c r="C704" s="35"/>
      <c r="D704" s="34"/>
      <c r="E704" s="36"/>
      <c r="F704" s="10"/>
      <c r="H704" s="21"/>
      <c r="I704" s="31"/>
      <c r="J704" s="13"/>
    </row>
    <row r="705">
      <c r="A705" s="34"/>
      <c r="B705" s="34"/>
      <c r="C705" s="35"/>
      <c r="D705" s="34"/>
      <c r="E705" s="36"/>
      <c r="F705" s="10"/>
      <c r="H705" s="21"/>
      <c r="I705" s="31"/>
      <c r="J705" s="13"/>
    </row>
    <row r="706">
      <c r="A706" s="34"/>
      <c r="B706" s="34"/>
      <c r="C706" s="35"/>
      <c r="D706" s="34"/>
      <c r="E706" s="36"/>
      <c r="F706" s="10"/>
      <c r="H706" s="21"/>
      <c r="I706" s="31"/>
      <c r="J706" s="13"/>
    </row>
    <row r="707">
      <c r="A707" s="34"/>
      <c r="B707" s="34"/>
      <c r="C707" s="35"/>
      <c r="D707" s="34"/>
      <c r="E707" s="53"/>
      <c r="F707" s="10"/>
      <c r="H707" s="21"/>
      <c r="I707" s="31"/>
      <c r="J707" s="13"/>
    </row>
    <row r="708">
      <c r="A708" s="34"/>
      <c r="B708" s="34"/>
      <c r="C708" s="35"/>
      <c r="D708" s="34"/>
      <c r="E708" s="36"/>
      <c r="F708" s="10"/>
      <c r="H708" s="21"/>
      <c r="I708" s="31"/>
      <c r="J708" s="13"/>
    </row>
    <row r="709">
      <c r="A709" s="34"/>
      <c r="B709" s="34"/>
      <c r="C709" s="35"/>
      <c r="D709" s="34"/>
      <c r="E709" s="36"/>
      <c r="F709" s="10"/>
      <c r="H709" s="21"/>
      <c r="I709" s="31"/>
      <c r="J709" s="13"/>
    </row>
    <row r="710">
      <c r="A710" s="34"/>
      <c r="B710" s="34"/>
      <c r="C710" s="35"/>
      <c r="D710" s="34"/>
      <c r="E710" s="36"/>
      <c r="F710" s="10"/>
      <c r="H710" s="21"/>
      <c r="I710" s="31"/>
      <c r="J710" s="13"/>
    </row>
    <row r="711">
      <c r="A711" s="34"/>
      <c r="B711" s="34"/>
      <c r="C711" s="35"/>
      <c r="D711" s="34"/>
      <c r="E711" s="36"/>
      <c r="F711" s="10"/>
      <c r="H711" s="21"/>
      <c r="I711" s="31"/>
      <c r="J711" s="13"/>
    </row>
    <row r="712">
      <c r="A712" s="34"/>
      <c r="B712" s="34"/>
      <c r="C712" s="35"/>
      <c r="D712" s="34"/>
      <c r="E712" s="36"/>
      <c r="F712" s="10"/>
      <c r="H712" s="21"/>
      <c r="I712" s="31"/>
      <c r="J712" s="13"/>
    </row>
    <row r="713">
      <c r="A713" s="34"/>
      <c r="B713" s="34"/>
      <c r="C713" s="35"/>
      <c r="D713" s="34"/>
      <c r="E713" s="36"/>
      <c r="F713" s="10"/>
      <c r="H713" s="21"/>
      <c r="I713" s="31"/>
      <c r="J713" s="13"/>
    </row>
    <row r="714">
      <c r="A714" s="34"/>
      <c r="B714" s="34"/>
      <c r="C714" s="35"/>
      <c r="D714" s="34"/>
      <c r="E714" s="36"/>
      <c r="F714" s="10"/>
      <c r="H714" s="21"/>
      <c r="I714" s="31"/>
      <c r="J714" s="13"/>
    </row>
    <row r="715">
      <c r="A715" s="34"/>
      <c r="B715" s="34"/>
      <c r="C715" s="35"/>
      <c r="D715" s="34"/>
      <c r="E715" s="36"/>
      <c r="F715" s="10"/>
      <c r="H715" s="21"/>
      <c r="I715" s="31"/>
      <c r="J715" s="13"/>
    </row>
    <row r="716">
      <c r="A716" s="34"/>
      <c r="B716" s="34"/>
      <c r="C716" s="35"/>
      <c r="D716" s="34"/>
      <c r="E716" s="36"/>
      <c r="F716" s="10"/>
      <c r="H716" s="21"/>
      <c r="I716" s="31"/>
      <c r="J716" s="13"/>
    </row>
    <row r="717">
      <c r="A717" s="34"/>
      <c r="B717" s="34"/>
      <c r="C717" s="35"/>
      <c r="D717" s="34"/>
      <c r="E717" s="36"/>
      <c r="F717" s="10"/>
      <c r="H717" s="21"/>
      <c r="I717" s="31"/>
      <c r="J717" s="13"/>
    </row>
    <row r="718">
      <c r="A718" s="34"/>
      <c r="B718" s="34"/>
      <c r="C718" s="35"/>
      <c r="D718" s="34"/>
      <c r="E718" s="36"/>
      <c r="F718" s="10"/>
      <c r="H718" s="21"/>
      <c r="I718" s="31"/>
      <c r="J718" s="13"/>
    </row>
    <row r="719">
      <c r="A719" s="34"/>
      <c r="B719" s="34"/>
      <c r="C719" s="35"/>
      <c r="D719" s="34"/>
      <c r="E719" s="36"/>
      <c r="F719" s="10"/>
      <c r="H719" s="21"/>
      <c r="I719" s="31"/>
      <c r="J719" s="13"/>
    </row>
    <row r="720">
      <c r="A720" s="34"/>
      <c r="B720" s="34"/>
      <c r="C720" s="35"/>
      <c r="D720" s="34"/>
      <c r="E720" s="36"/>
      <c r="F720" s="10"/>
      <c r="H720" s="21"/>
      <c r="I720" s="31"/>
      <c r="J720" s="13"/>
    </row>
    <row r="721">
      <c r="A721" s="34"/>
      <c r="B721" s="34"/>
      <c r="C721" s="35"/>
      <c r="D721" s="34"/>
      <c r="E721" s="36"/>
      <c r="F721" s="10"/>
      <c r="H721" s="21"/>
      <c r="I721" s="31"/>
      <c r="J721" s="13"/>
    </row>
    <row r="722">
      <c r="A722" s="34"/>
      <c r="B722" s="34"/>
      <c r="C722" s="35"/>
      <c r="D722" s="34"/>
      <c r="E722" s="36"/>
      <c r="F722" s="10"/>
      <c r="H722" s="21"/>
      <c r="I722" s="31"/>
      <c r="J722" s="13"/>
    </row>
    <row r="723">
      <c r="A723" s="34"/>
      <c r="B723" s="34"/>
      <c r="C723" s="35"/>
      <c r="D723" s="34"/>
      <c r="E723" s="53"/>
      <c r="F723" s="10"/>
      <c r="H723" s="21"/>
      <c r="I723" s="31"/>
      <c r="J723" s="13"/>
    </row>
    <row r="724">
      <c r="A724" s="34"/>
      <c r="B724" s="34"/>
      <c r="C724" s="35"/>
      <c r="D724" s="34"/>
      <c r="E724" s="53"/>
      <c r="F724" s="10"/>
      <c r="H724" s="21"/>
      <c r="I724" s="31"/>
      <c r="J724" s="13"/>
    </row>
    <row r="725">
      <c r="A725" s="34"/>
      <c r="B725" s="34"/>
      <c r="C725" s="35"/>
      <c r="D725" s="34"/>
      <c r="E725" s="36"/>
      <c r="F725" s="10"/>
      <c r="H725" s="21"/>
      <c r="I725" s="31"/>
      <c r="J725" s="13"/>
    </row>
    <row r="726">
      <c r="A726" s="34"/>
      <c r="B726" s="34"/>
      <c r="C726" s="35"/>
      <c r="D726" s="34"/>
      <c r="E726" s="53"/>
      <c r="F726" s="10"/>
      <c r="H726" s="21"/>
      <c r="I726" s="31"/>
      <c r="J726" s="13"/>
    </row>
    <row r="727">
      <c r="A727" s="34"/>
      <c r="B727" s="34"/>
      <c r="C727" s="35"/>
      <c r="D727" s="34"/>
      <c r="E727" s="53"/>
      <c r="F727" s="10"/>
      <c r="H727" s="21"/>
      <c r="I727" s="31"/>
      <c r="J727" s="13"/>
    </row>
    <row r="728">
      <c r="A728" s="34"/>
      <c r="B728" s="34"/>
      <c r="C728" s="35"/>
      <c r="D728" s="34"/>
      <c r="E728" s="53"/>
      <c r="F728" s="10"/>
      <c r="H728" s="21"/>
      <c r="I728" s="31"/>
      <c r="J728" s="13"/>
    </row>
    <row r="729">
      <c r="A729" s="34"/>
      <c r="B729" s="34"/>
      <c r="C729" s="35"/>
      <c r="D729" s="34"/>
      <c r="E729" s="53"/>
      <c r="F729" s="10"/>
      <c r="H729" s="21"/>
      <c r="I729" s="31"/>
      <c r="J729" s="13"/>
    </row>
    <row r="730">
      <c r="A730" s="34"/>
      <c r="B730" s="34"/>
      <c r="C730" s="35"/>
      <c r="D730" s="34"/>
      <c r="E730" s="53"/>
      <c r="F730" s="10"/>
      <c r="H730" s="21"/>
      <c r="I730" s="31"/>
      <c r="J730" s="13"/>
    </row>
    <row r="731">
      <c r="A731" s="34"/>
      <c r="B731" s="34"/>
      <c r="C731" s="35"/>
      <c r="D731" s="34"/>
      <c r="E731" s="53"/>
      <c r="F731" s="10"/>
      <c r="H731" s="21"/>
      <c r="I731" s="31"/>
      <c r="J731" s="13"/>
    </row>
    <row r="732">
      <c r="A732" s="34"/>
      <c r="B732" s="34"/>
      <c r="C732" s="35"/>
      <c r="D732" s="34"/>
      <c r="E732" s="53"/>
      <c r="F732" s="10"/>
      <c r="H732" s="21"/>
      <c r="I732" s="31"/>
      <c r="J732" s="13"/>
    </row>
    <row r="733">
      <c r="A733" s="34"/>
      <c r="B733" s="34"/>
      <c r="C733" s="35"/>
      <c r="D733" s="34"/>
      <c r="E733" s="53"/>
      <c r="F733" s="10"/>
      <c r="H733" s="21"/>
      <c r="I733" s="31"/>
      <c r="J733" s="13"/>
    </row>
    <row r="734">
      <c r="A734" s="34"/>
      <c r="B734" s="34"/>
      <c r="C734" s="35"/>
      <c r="D734" s="34"/>
      <c r="E734" s="53"/>
      <c r="F734" s="10"/>
      <c r="H734" s="21"/>
      <c r="I734" s="31"/>
      <c r="J734" s="13"/>
    </row>
    <row r="735">
      <c r="A735" s="34"/>
      <c r="B735" s="34"/>
      <c r="C735" s="35"/>
      <c r="D735" s="34"/>
      <c r="E735" s="36"/>
      <c r="F735" s="10"/>
      <c r="H735" s="21"/>
      <c r="I735" s="31"/>
      <c r="J735" s="13"/>
    </row>
    <row r="736">
      <c r="A736" s="34"/>
      <c r="B736" s="34"/>
      <c r="C736" s="35"/>
      <c r="D736" s="34"/>
      <c r="E736" s="36"/>
      <c r="F736" s="10"/>
      <c r="H736" s="21"/>
      <c r="I736" s="31"/>
      <c r="J736" s="13"/>
    </row>
    <row r="737">
      <c r="A737" s="34"/>
      <c r="B737" s="34"/>
      <c r="C737" s="35"/>
      <c r="D737" s="34"/>
      <c r="E737" s="36"/>
      <c r="F737" s="10"/>
      <c r="H737" s="21"/>
      <c r="I737" s="31"/>
      <c r="J737" s="13"/>
    </row>
    <row r="738">
      <c r="A738" s="34"/>
      <c r="B738" s="34"/>
      <c r="C738" s="35"/>
      <c r="D738" s="34"/>
      <c r="E738" s="36"/>
      <c r="F738" s="10"/>
      <c r="H738" s="21"/>
      <c r="I738" s="31"/>
      <c r="J738" s="13"/>
    </row>
    <row r="739">
      <c r="A739" s="34"/>
      <c r="B739" s="34"/>
      <c r="C739" s="35"/>
      <c r="D739" s="34"/>
      <c r="E739" s="36"/>
      <c r="F739" s="10"/>
      <c r="H739" s="21"/>
      <c r="I739" s="31"/>
      <c r="J739" s="13"/>
    </row>
    <row r="740">
      <c r="A740" s="34"/>
      <c r="B740" s="34"/>
      <c r="C740" s="35"/>
      <c r="D740" s="34"/>
      <c r="E740" s="53"/>
      <c r="F740" s="10"/>
      <c r="H740" s="21"/>
      <c r="I740" s="31"/>
      <c r="J740" s="13"/>
    </row>
    <row r="741">
      <c r="A741" s="34"/>
      <c r="B741" s="34"/>
      <c r="C741" s="35"/>
      <c r="D741" s="34"/>
      <c r="E741" s="36"/>
      <c r="F741" s="10"/>
      <c r="H741" s="21"/>
      <c r="I741" s="31"/>
      <c r="J741" s="13"/>
    </row>
    <row r="742">
      <c r="A742" s="34"/>
      <c r="B742" s="34"/>
      <c r="C742" s="35"/>
      <c r="D742" s="34"/>
      <c r="E742" s="36"/>
      <c r="F742" s="10"/>
      <c r="H742" s="21"/>
      <c r="I742" s="31"/>
      <c r="J742" s="13"/>
    </row>
    <row r="743">
      <c r="A743" s="34"/>
      <c r="B743" s="34"/>
      <c r="C743" s="35"/>
      <c r="D743" s="34"/>
      <c r="E743" s="36"/>
      <c r="F743" s="10"/>
      <c r="H743" s="21"/>
      <c r="I743" s="31"/>
      <c r="J743" s="13"/>
    </row>
    <row r="744">
      <c r="A744" s="34"/>
      <c r="B744" s="34"/>
      <c r="C744" s="35"/>
      <c r="D744" s="34"/>
      <c r="E744" s="36"/>
      <c r="F744" s="10"/>
      <c r="H744" s="21"/>
      <c r="I744" s="31"/>
      <c r="J744" s="13"/>
    </row>
    <row r="745">
      <c r="A745" s="34"/>
      <c r="B745" s="34"/>
      <c r="C745" s="35"/>
      <c r="D745" s="34"/>
      <c r="E745" s="36"/>
      <c r="F745" s="10"/>
      <c r="H745" s="21"/>
      <c r="I745" s="31"/>
      <c r="J745" s="13"/>
    </row>
    <row r="746">
      <c r="A746" s="34"/>
      <c r="B746" s="34"/>
      <c r="C746" s="35"/>
      <c r="D746" s="34"/>
      <c r="E746" s="36"/>
      <c r="F746" s="10"/>
      <c r="H746" s="21"/>
      <c r="I746" s="31"/>
      <c r="J746" s="13"/>
    </row>
    <row r="747">
      <c r="A747" s="34"/>
      <c r="B747" s="34"/>
      <c r="C747" s="35"/>
      <c r="D747" s="34"/>
      <c r="E747" s="36"/>
      <c r="F747" s="10"/>
      <c r="H747" s="21"/>
      <c r="I747" s="31"/>
      <c r="J747" s="13"/>
    </row>
    <row r="748">
      <c r="A748" s="34"/>
      <c r="B748" s="34"/>
      <c r="C748" s="35"/>
      <c r="D748" s="34"/>
      <c r="E748" s="36"/>
      <c r="F748" s="10"/>
      <c r="H748" s="21"/>
      <c r="I748" s="31"/>
      <c r="J748" s="13"/>
    </row>
    <row r="749">
      <c r="A749" s="34"/>
      <c r="B749" s="34"/>
      <c r="C749" s="35"/>
      <c r="D749" s="34"/>
      <c r="E749" s="36"/>
      <c r="F749" s="10"/>
      <c r="H749" s="21"/>
      <c r="I749" s="31"/>
      <c r="J749" s="13"/>
    </row>
    <row r="750">
      <c r="A750" s="34"/>
      <c r="B750" s="34"/>
      <c r="C750" s="35"/>
      <c r="D750" s="34"/>
      <c r="E750" s="36"/>
      <c r="F750" s="10"/>
      <c r="H750" s="21"/>
      <c r="I750" s="31"/>
      <c r="J750" s="13"/>
    </row>
    <row r="751">
      <c r="A751" s="34"/>
      <c r="B751" s="34"/>
      <c r="C751" s="35"/>
      <c r="D751" s="34"/>
      <c r="E751" s="36"/>
      <c r="F751" s="10"/>
      <c r="H751" s="21"/>
      <c r="I751" s="31"/>
      <c r="J751" s="13"/>
    </row>
    <row r="752">
      <c r="A752" s="34"/>
      <c r="B752" s="34"/>
      <c r="C752" s="35"/>
      <c r="D752" s="34"/>
      <c r="E752" s="36"/>
      <c r="F752" s="10"/>
      <c r="H752" s="21"/>
      <c r="I752" s="31"/>
      <c r="J752" s="13"/>
    </row>
    <row r="753">
      <c r="A753" s="34"/>
      <c r="B753" s="34"/>
      <c r="C753" s="35"/>
      <c r="D753" s="34"/>
      <c r="E753" s="36"/>
      <c r="F753" s="10"/>
      <c r="H753" s="21"/>
      <c r="I753" s="31"/>
      <c r="J753" s="13"/>
    </row>
    <row r="754">
      <c r="A754" s="34"/>
      <c r="B754" s="34"/>
      <c r="C754" s="35"/>
      <c r="D754" s="34"/>
      <c r="E754" s="36"/>
      <c r="F754" s="10"/>
      <c r="H754" s="21"/>
      <c r="I754" s="31"/>
      <c r="J754" s="13"/>
    </row>
    <row r="755">
      <c r="A755" s="34"/>
      <c r="B755" s="34"/>
      <c r="C755" s="35"/>
      <c r="D755" s="34"/>
      <c r="E755" s="36"/>
      <c r="F755" s="10"/>
      <c r="H755" s="21"/>
      <c r="I755" s="31"/>
      <c r="J755" s="13"/>
    </row>
    <row r="756">
      <c r="A756" s="34"/>
      <c r="B756" s="34"/>
      <c r="C756" s="35"/>
      <c r="D756" s="34"/>
      <c r="E756" s="36"/>
      <c r="F756" s="10"/>
      <c r="H756" s="21"/>
      <c r="I756" s="31"/>
      <c r="J756" s="13"/>
    </row>
    <row r="757">
      <c r="A757" s="34"/>
      <c r="B757" s="34"/>
      <c r="C757" s="35"/>
      <c r="D757" s="34"/>
      <c r="E757" s="36"/>
      <c r="F757" s="10"/>
      <c r="H757" s="21"/>
      <c r="I757" s="31"/>
      <c r="J757" s="13"/>
    </row>
    <row r="758">
      <c r="A758" s="34"/>
      <c r="B758" s="34"/>
      <c r="C758" s="35"/>
      <c r="D758" s="34"/>
      <c r="E758" s="36"/>
      <c r="F758" s="10"/>
      <c r="H758" s="21"/>
      <c r="I758" s="31"/>
      <c r="J758" s="13"/>
    </row>
    <row r="759">
      <c r="A759" s="34"/>
      <c r="B759" s="34"/>
      <c r="C759" s="35"/>
      <c r="D759" s="34"/>
      <c r="E759" s="36"/>
      <c r="F759" s="10"/>
      <c r="H759" s="21"/>
      <c r="I759" s="31"/>
      <c r="J759" s="13"/>
    </row>
    <row r="760">
      <c r="A760" s="34"/>
      <c r="B760" s="34"/>
      <c r="C760" s="35"/>
      <c r="D760" s="34"/>
      <c r="E760" s="36"/>
      <c r="F760" s="10"/>
      <c r="H760" s="21"/>
      <c r="I760" s="31"/>
      <c r="J760" s="13"/>
    </row>
    <row r="761">
      <c r="A761" s="34"/>
      <c r="B761" s="34"/>
      <c r="C761" s="35"/>
      <c r="D761" s="34"/>
      <c r="E761" s="36"/>
      <c r="F761" s="10"/>
      <c r="H761" s="21"/>
      <c r="I761" s="31"/>
      <c r="J761" s="13"/>
    </row>
    <row r="762">
      <c r="A762" s="34"/>
      <c r="B762" s="34"/>
      <c r="C762" s="35"/>
      <c r="D762" s="34"/>
      <c r="E762" s="36"/>
      <c r="F762" s="10"/>
      <c r="H762" s="21"/>
      <c r="I762" s="31"/>
      <c r="J762" s="13"/>
    </row>
    <row r="763">
      <c r="A763" s="34"/>
      <c r="B763" s="34"/>
      <c r="C763" s="35"/>
      <c r="D763" s="34"/>
      <c r="E763" s="36"/>
      <c r="F763" s="10"/>
      <c r="H763" s="21"/>
      <c r="I763" s="31"/>
      <c r="J763" s="13"/>
    </row>
    <row r="764">
      <c r="A764" s="34"/>
      <c r="B764" s="34"/>
      <c r="C764" s="35"/>
      <c r="D764" s="34"/>
      <c r="E764" s="36"/>
      <c r="F764" s="10"/>
      <c r="H764" s="21"/>
      <c r="I764" s="31"/>
      <c r="J764" s="13"/>
    </row>
    <row r="765">
      <c r="A765" s="34"/>
      <c r="B765" s="34"/>
      <c r="C765" s="35"/>
      <c r="D765" s="34"/>
      <c r="E765" s="36"/>
      <c r="F765" s="10"/>
      <c r="H765" s="21"/>
      <c r="I765" s="31"/>
      <c r="J765" s="13"/>
    </row>
    <row r="766">
      <c r="A766" s="34"/>
      <c r="B766" s="34"/>
      <c r="C766" s="35"/>
      <c r="D766" s="34"/>
      <c r="E766" s="36"/>
      <c r="F766" s="10"/>
      <c r="H766" s="21"/>
      <c r="I766" s="31"/>
      <c r="J766" s="13"/>
    </row>
    <row r="767">
      <c r="A767" s="34"/>
      <c r="B767" s="34"/>
      <c r="C767" s="35"/>
      <c r="D767" s="34"/>
      <c r="E767" s="36"/>
      <c r="F767" s="10"/>
      <c r="H767" s="21"/>
      <c r="I767" s="31"/>
      <c r="J767" s="13"/>
    </row>
    <row r="768">
      <c r="A768" s="34"/>
      <c r="B768" s="34"/>
      <c r="C768" s="35"/>
      <c r="D768" s="34"/>
      <c r="E768" s="36"/>
      <c r="F768" s="10"/>
      <c r="H768" s="21"/>
      <c r="I768" s="31"/>
      <c r="J768" s="13"/>
    </row>
    <row r="769">
      <c r="A769" s="34"/>
      <c r="B769" s="34"/>
      <c r="C769" s="35"/>
      <c r="D769" s="34"/>
      <c r="E769" s="36"/>
      <c r="F769" s="10"/>
      <c r="H769" s="21"/>
      <c r="I769" s="31"/>
      <c r="J769" s="13"/>
    </row>
    <row r="770">
      <c r="A770" s="34"/>
      <c r="B770" s="34"/>
      <c r="C770" s="35"/>
      <c r="D770" s="34"/>
      <c r="E770" s="36"/>
      <c r="F770" s="10"/>
      <c r="H770" s="21"/>
      <c r="I770" s="31"/>
      <c r="J770" s="13"/>
    </row>
    <row r="771">
      <c r="A771" s="34"/>
      <c r="B771" s="34"/>
      <c r="C771" s="35"/>
      <c r="D771" s="34"/>
      <c r="E771" s="36"/>
      <c r="F771" s="10"/>
      <c r="H771" s="21"/>
      <c r="I771" s="31"/>
      <c r="J771" s="13"/>
    </row>
    <row r="772">
      <c r="A772" s="34"/>
      <c r="B772" s="34"/>
      <c r="C772" s="35"/>
      <c r="D772" s="34"/>
      <c r="E772" s="36"/>
      <c r="F772" s="10"/>
      <c r="H772" s="21"/>
      <c r="I772" s="31"/>
      <c r="J772" s="13"/>
    </row>
    <row r="773">
      <c r="A773" s="34"/>
      <c r="B773" s="34"/>
      <c r="C773" s="35"/>
      <c r="D773" s="34"/>
      <c r="E773" s="36"/>
      <c r="F773" s="10"/>
      <c r="H773" s="21"/>
      <c r="I773" s="31"/>
      <c r="J773" s="13"/>
    </row>
    <row r="774">
      <c r="A774" s="34"/>
      <c r="B774" s="34"/>
      <c r="C774" s="35"/>
      <c r="D774" s="34"/>
      <c r="E774" s="64"/>
      <c r="F774" s="10"/>
      <c r="H774" s="21"/>
      <c r="I774" s="31"/>
      <c r="J774" s="13"/>
    </row>
    <row r="775">
      <c r="A775" s="34"/>
      <c r="B775" s="34"/>
      <c r="C775" s="35"/>
      <c r="D775" s="34"/>
      <c r="E775" s="64"/>
      <c r="F775" s="10"/>
      <c r="H775" s="21"/>
      <c r="I775" s="31"/>
      <c r="J775" s="13"/>
    </row>
    <row r="776">
      <c r="A776" s="34"/>
      <c r="B776" s="34"/>
      <c r="C776" s="35"/>
      <c r="D776" s="34"/>
      <c r="E776" s="64"/>
      <c r="F776" s="10"/>
      <c r="H776" s="21"/>
      <c r="I776" s="31"/>
      <c r="J776" s="13"/>
    </row>
    <row r="777">
      <c r="A777" s="34"/>
      <c r="B777" s="34"/>
      <c r="C777" s="35"/>
      <c r="D777" s="34"/>
      <c r="E777" s="36"/>
      <c r="F777" s="10"/>
      <c r="H777" s="21"/>
      <c r="I777" s="31"/>
      <c r="J777" s="13"/>
    </row>
    <row r="778">
      <c r="A778" s="34"/>
      <c r="B778" s="34"/>
      <c r="C778" s="35"/>
      <c r="D778" s="34"/>
      <c r="E778" s="36"/>
      <c r="F778" s="10"/>
      <c r="H778" s="21"/>
      <c r="I778" s="31"/>
      <c r="J778" s="13"/>
    </row>
    <row r="779">
      <c r="A779" s="34"/>
      <c r="B779" s="34"/>
      <c r="C779" s="35"/>
      <c r="D779" s="34"/>
      <c r="E779" s="64"/>
      <c r="F779" s="10"/>
      <c r="H779" s="21"/>
      <c r="I779" s="31"/>
      <c r="J779" s="13"/>
    </row>
    <row r="780">
      <c r="A780" s="34"/>
      <c r="B780" s="34"/>
      <c r="C780" s="35"/>
      <c r="D780" s="34"/>
      <c r="E780" s="53"/>
      <c r="F780" s="10"/>
      <c r="H780" s="21"/>
      <c r="I780" s="31"/>
      <c r="J780" s="13"/>
    </row>
    <row r="781">
      <c r="A781" s="34"/>
      <c r="B781" s="34"/>
      <c r="C781" s="35"/>
      <c r="D781" s="34"/>
      <c r="E781" s="36"/>
      <c r="F781" s="10"/>
      <c r="H781" s="21"/>
      <c r="I781" s="31"/>
      <c r="J781" s="13"/>
    </row>
    <row r="782">
      <c r="A782" s="34"/>
      <c r="B782" s="34"/>
      <c r="C782" s="35"/>
      <c r="D782" s="34"/>
      <c r="E782" s="36"/>
      <c r="F782" s="10"/>
      <c r="H782" s="21"/>
      <c r="I782" s="31"/>
      <c r="J782" s="13"/>
    </row>
    <row r="783">
      <c r="A783" s="34"/>
      <c r="B783" s="34"/>
      <c r="C783" s="35"/>
      <c r="D783" s="34"/>
      <c r="E783" s="36"/>
      <c r="F783" s="10"/>
      <c r="H783" s="21"/>
      <c r="I783" s="31"/>
      <c r="J783" s="13"/>
    </row>
    <row r="784">
      <c r="A784" s="34"/>
      <c r="B784" s="34"/>
      <c r="C784" s="35"/>
      <c r="D784" s="34"/>
      <c r="E784" s="36"/>
      <c r="F784" s="10"/>
      <c r="H784" s="21"/>
      <c r="I784" s="31"/>
      <c r="J784" s="13"/>
    </row>
    <row r="785">
      <c r="A785" s="34"/>
      <c r="B785" s="34"/>
      <c r="C785" s="35"/>
      <c r="D785" s="34"/>
      <c r="E785" s="36"/>
      <c r="F785" s="10"/>
      <c r="H785" s="21"/>
      <c r="I785" s="31"/>
      <c r="J785" s="13"/>
    </row>
    <row r="786">
      <c r="A786" s="34"/>
      <c r="B786" s="34"/>
      <c r="C786" s="35"/>
      <c r="D786" s="34"/>
      <c r="E786" s="36"/>
      <c r="F786" s="10"/>
      <c r="H786" s="21"/>
      <c r="I786" s="31"/>
      <c r="J786" s="13"/>
    </row>
    <row r="787">
      <c r="A787" s="68"/>
      <c r="B787" s="68"/>
      <c r="C787" s="35"/>
      <c r="D787" s="68"/>
      <c r="E787" s="36"/>
      <c r="F787" s="10"/>
      <c r="H787" s="21"/>
      <c r="I787" s="31"/>
      <c r="J787" s="13"/>
    </row>
    <row r="788">
      <c r="A788" s="34"/>
      <c r="B788" s="34"/>
      <c r="C788" s="35"/>
      <c r="D788" s="34"/>
      <c r="E788" s="36"/>
      <c r="F788" s="10"/>
      <c r="H788" s="21"/>
      <c r="I788" s="31"/>
      <c r="J788" s="13"/>
    </row>
    <row r="789">
      <c r="A789" s="68"/>
      <c r="B789" s="68"/>
      <c r="C789" s="35"/>
      <c r="D789" s="68"/>
      <c r="E789" s="36"/>
      <c r="F789" s="10"/>
      <c r="H789" s="21"/>
      <c r="I789" s="31"/>
      <c r="J789" s="13"/>
    </row>
    <row r="790">
      <c r="A790" s="34"/>
      <c r="B790" s="34"/>
      <c r="C790" s="35"/>
      <c r="D790" s="34"/>
      <c r="E790" s="36"/>
      <c r="F790" s="10"/>
      <c r="H790" s="21"/>
      <c r="I790" s="31"/>
      <c r="J790" s="13"/>
    </row>
    <row r="791">
      <c r="A791" s="34"/>
      <c r="B791" s="34"/>
      <c r="C791" s="35"/>
      <c r="D791" s="34"/>
      <c r="E791" s="36"/>
      <c r="F791" s="10"/>
      <c r="H791" s="21"/>
      <c r="I791" s="31"/>
      <c r="J791" s="13"/>
    </row>
    <row r="792">
      <c r="A792" s="34"/>
      <c r="B792" s="34"/>
      <c r="C792" s="35"/>
      <c r="D792" s="34"/>
      <c r="E792" s="36"/>
      <c r="F792" s="10"/>
      <c r="H792" s="21"/>
      <c r="I792" s="31"/>
      <c r="J792" s="13"/>
    </row>
    <row r="793">
      <c r="A793" s="34"/>
      <c r="B793" s="34"/>
      <c r="C793" s="35"/>
      <c r="D793" s="34"/>
      <c r="E793" s="36"/>
      <c r="F793" s="10"/>
      <c r="H793" s="21"/>
      <c r="I793" s="31"/>
      <c r="J793" s="13"/>
    </row>
    <row r="794">
      <c r="A794" s="34"/>
      <c r="B794" s="34"/>
      <c r="C794" s="35"/>
      <c r="D794" s="34"/>
      <c r="E794" s="36"/>
      <c r="F794" s="10"/>
      <c r="H794" s="21"/>
      <c r="I794" s="31"/>
      <c r="J794" s="13"/>
    </row>
    <row r="795">
      <c r="A795" s="34"/>
      <c r="B795" s="34"/>
      <c r="C795" s="35"/>
      <c r="D795" s="34"/>
      <c r="E795" s="36"/>
      <c r="F795" s="10"/>
      <c r="H795" s="21"/>
      <c r="I795" s="31"/>
      <c r="J795" s="13"/>
    </row>
    <row r="796">
      <c r="A796" s="34"/>
      <c r="B796" s="34"/>
      <c r="C796" s="35"/>
      <c r="D796" s="34"/>
      <c r="E796" s="36"/>
      <c r="F796" s="10"/>
      <c r="H796" s="21"/>
      <c r="I796" s="31"/>
      <c r="J796" s="13"/>
    </row>
    <row r="797">
      <c r="A797" s="34"/>
      <c r="B797" s="34"/>
      <c r="C797" s="35"/>
      <c r="D797" s="34"/>
      <c r="E797" s="36"/>
      <c r="F797" s="10"/>
      <c r="H797" s="21"/>
      <c r="I797" s="31"/>
      <c r="J797" s="13"/>
    </row>
    <row r="798">
      <c r="A798" s="34"/>
      <c r="B798" s="34"/>
      <c r="C798" s="35"/>
      <c r="D798" s="34"/>
      <c r="E798" s="36"/>
      <c r="F798" s="10"/>
      <c r="H798" s="21"/>
      <c r="I798" s="31"/>
      <c r="J798" s="13"/>
    </row>
    <row r="799">
      <c r="A799" s="34"/>
      <c r="B799" s="34"/>
      <c r="C799" s="35"/>
      <c r="D799" s="34"/>
      <c r="E799" s="36"/>
      <c r="F799" s="10"/>
      <c r="H799" s="21"/>
      <c r="I799" s="31"/>
      <c r="J799" s="13"/>
    </row>
    <row r="800">
      <c r="A800" s="34"/>
      <c r="B800" s="34"/>
      <c r="C800" s="35"/>
      <c r="D800" s="34"/>
      <c r="E800" s="36"/>
      <c r="F800" s="10"/>
      <c r="H800" s="21"/>
      <c r="I800" s="31"/>
      <c r="J800" s="13"/>
    </row>
    <row r="801">
      <c r="A801" s="34"/>
      <c r="B801" s="34"/>
      <c r="C801" s="35"/>
      <c r="D801" s="34"/>
      <c r="E801" s="36"/>
      <c r="F801" s="10"/>
      <c r="H801" s="21"/>
      <c r="I801" s="31"/>
      <c r="J801" s="13"/>
    </row>
    <row r="802">
      <c r="A802" s="34"/>
      <c r="B802" s="34"/>
      <c r="C802" s="35"/>
      <c r="D802" s="34"/>
      <c r="E802" s="36"/>
      <c r="F802" s="10"/>
      <c r="H802" s="21"/>
      <c r="I802" s="31"/>
      <c r="J802" s="13"/>
    </row>
    <row r="803">
      <c r="A803" s="34"/>
      <c r="B803" s="34"/>
      <c r="C803" s="35"/>
      <c r="D803" s="34"/>
      <c r="E803" s="36"/>
      <c r="F803" s="10"/>
      <c r="H803" s="21"/>
      <c r="I803" s="31"/>
      <c r="J803" s="13"/>
    </row>
    <row r="804">
      <c r="A804" s="34"/>
      <c r="B804" s="34"/>
      <c r="C804" s="35"/>
      <c r="D804" s="34"/>
      <c r="E804" s="36"/>
      <c r="F804" s="10"/>
      <c r="H804" s="21"/>
      <c r="I804" s="31"/>
      <c r="J804" s="13"/>
    </row>
    <row r="805">
      <c r="A805" s="34"/>
      <c r="B805" s="34"/>
      <c r="C805" s="35"/>
      <c r="D805" s="34"/>
      <c r="E805" s="36"/>
      <c r="F805" s="10"/>
      <c r="H805" s="21"/>
      <c r="I805" s="31"/>
      <c r="J805" s="13"/>
    </row>
    <row r="806">
      <c r="A806" s="34"/>
      <c r="B806" s="34"/>
      <c r="C806" s="35"/>
      <c r="D806" s="34"/>
      <c r="E806" s="36"/>
      <c r="F806" s="10"/>
      <c r="H806" s="21"/>
      <c r="I806" s="31"/>
      <c r="J806" s="13"/>
    </row>
    <row r="807">
      <c r="A807" s="34"/>
      <c r="B807" s="34"/>
      <c r="C807" s="35"/>
      <c r="D807" s="34"/>
      <c r="E807" s="33"/>
      <c r="F807" s="10"/>
      <c r="H807" s="21"/>
      <c r="I807" s="31"/>
      <c r="J807" s="13"/>
    </row>
    <row r="808">
      <c r="A808" s="34"/>
      <c r="B808" s="34"/>
      <c r="C808" s="35"/>
      <c r="D808" s="34"/>
      <c r="E808" s="36"/>
      <c r="F808" s="10"/>
      <c r="H808" s="21"/>
      <c r="I808" s="31"/>
      <c r="J808" s="13"/>
    </row>
    <row r="809">
      <c r="A809" s="34"/>
      <c r="B809" s="34"/>
      <c r="C809" s="35"/>
      <c r="D809" s="34"/>
      <c r="E809" s="36"/>
      <c r="F809" s="10"/>
      <c r="H809" s="21"/>
      <c r="I809" s="31"/>
      <c r="J809" s="13"/>
    </row>
    <row r="810">
      <c r="A810" s="34"/>
      <c r="B810" s="34"/>
      <c r="C810" s="35"/>
      <c r="D810" s="34"/>
      <c r="E810" s="36"/>
      <c r="F810" s="10"/>
      <c r="H810" s="21"/>
      <c r="I810" s="31"/>
      <c r="J810" s="13"/>
    </row>
    <row r="811">
      <c r="A811" s="34"/>
      <c r="B811" s="34"/>
      <c r="C811" s="35"/>
      <c r="D811" s="34"/>
      <c r="E811" s="36"/>
      <c r="F811" s="10"/>
      <c r="H811" s="21"/>
      <c r="I811" s="31"/>
      <c r="J811" s="13"/>
    </row>
    <row r="812">
      <c r="A812" s="34"/>
      <c r="B812" s="34"/>
      <c r="C812" s="35"/>
      <c r="D812" s="34"/>
      <c r="E812" s="36"/>
      <c r="F812" s="10"/>
      <c r="H812" s="21"/>
      <c r="I812" s="31"/>
      <c r="J812" s="13"/>
    </row>
    <row r="813">
      <c r="A813" s="34"/>
      <c r="B813" s="34"/>
      <c r="C813" s="35"/>
      <c r="D813" s="34"/>
      <c r="E813" s="36"/>
      <c r="F813" s="10"/>
      <c r="H813" s="21"/>
      <c r="I813" s="31"/>
      <c r="J813" s="13"/>
    </row>
    <row r="814">
      <c r="A814" s="34"/>
      <c r="B814" s="34"/>
      <c r="C814" s="35"/>
      <c r="D814" s="34"/>
      <c r="E814" s="36"/>
      <c r="F814" s="10"/>
      <c r="H814" s="21"/>
      <c r="I814" s="31"/>
      <c r="J814" s="13"/>
    </row>
    <row r="815">
      <c r="A815" s="34"/>
      <c r="B815" s="34"/>
      <c r="C815" s="35"/>
      <c r="D815" s="34"/>
      <c r="E815" s="36"/>
      <c r="F815" s="10"/>
      <c r="H815" s="21"/>
      <c r="I815" s="31"/>
      <c r="J815" s="13"/>
    </row>
    <row r="816">
      <c r="A816" s="34"/>
      <c r="B816" s="34"/>
      <c r="C816" s="35"/>
      <c r="D816" s="34"/>
      <c r="E816" s="36"/>
      <c r="F816" s="10"/>
      <c r="H816" s="21"/>
      <c r="I816" s="31"/>
      <c r="J816" s="13"/>
    </row>
    <row r="817">
      <c r="A817" s="34"/>
      <c r="B817" s="34"/>
      <c r="C817" s="35"/>
      <c r="D817" s="34"/>
      <c r="E817" s="36"/>
      <c r="F817" s="10"/>
      <c r="H817" s="21"/>
      <c r="I817" s="31"/>
      <c r="J817" s="13"/>
    </row>
    <row r="818">
      <c r="A818" s="68"/>
      <c r="B818" s="68"/>
      <c r="C818" s="35"/>
      <c r="D818" s="68"/>
      <c r="E818" s="36"/>
      <c r="F818" s="10"/>
      <c r="H818" s="21"/>
      <c r="I818" s="31"/>
      <c r="J818" s="13"/>
    </row>
    <row r="819">
      <c r="A819" s="68"/>
      <c r="B819" s="68"/>
      <c r="C819" s="35"/>
      <c r="D819" s="68"/>
      <c r="E819" s="36"/>
      <c r="F819" s="10"/>
      <c r="H819" s="21"/>
      <c r="I819" s="31"/>
      <c r="J819" s="13"/>
    </row>
    <row r="820">
      <c r="A820" s="34"/>
      <c r="B820" s="34"/>
      <c r="C820" s="35"/>
      <c r="D820" s="34"/>
      <c r="E820" s="36"/>
      <c r="F820" s="10"/>
      <c r="H820" s="21"/>
      <c r="I820" s="31"/>
      <c r="J820" s="13"/>
    </row>
    <row r="821">
      <c r="A821" s="68"/>
      <c r="B821" s="68"/>
      <c r="C821" s="35"/>
      <c r="D821" s="68"/>
      <c r="E821" s="36"/>
      <c r="F821" s="10"/>
      <c r="H821" s="21"/>
      <c r="I821" s="31"/>
      <c r="J821" s="13"/>
    </row>
    <row r="822">
      <c r="A822" s="34"/>
      <c r="B822" s="34"/>
      <c r="C822" s="35"/>
      <c r="D822" s="34"/>
      <c r="E822" s="36"/>
      <c r="F822" s="10"/>
      <c r="H822" s="21"/>
      <c r="I822" s="31"/>
      <c r="J822" s="13"/>
    </row>
    <row r="823">
      <c r="A823" s="34"/>
      <c r="B823" s="34"/>
      <c r="C823" s="35"/>
      <c r="D823" s="34"/>
      <c r="E823" s="36"/>
      <c r="F823" s="10"/>
      <c r="H823" s="21"/>
      <c r="I823" s="31"/>
      <c r="J823" s="13"/>
    </row>
    <row r="824">
      <c r="A824" s="34"/>
      <c r="B824" s="34"/>
      <c r="C824" s="35"/>
      <c r="D824" s="34"/>
      <c r="E824" s="36"/>
      <c r="F824" s="10"/>
      <c r="H824" s="21"/>
      <c r="I824" s="31"/>
      <c r="J824" s="13"/>
    </row>
    <row r="825">
      <c r="A825" s="34"/>
      <c r="B825" s="34"/>
      <c r="C825" s="35"/>
      <c r="D825" s="34"/>
      <c r="E825" s="36"/>
      <c r="F825" s="10"/>
      <c r="H825" s="21"/>
      <c r="I825" s="31"/>
      <c r="J825" s="13"/>
    </row>
    <row r="826">
      <c r="A826" s="34"/>
      <c r="B826" s="34"/>
      <c r="C826" s="35"/>
      <c r="D826" s="34"/>
      <c r="E826" s="36"/>
      <c r="F826" s="10"/>
      <c r="H826" s="21"/>
      <c r="I826" s="31"/>
      <c r="J826" s="13"/>
    </row>
    <row r="827">
      <c r="A827" s="34"/>
      <c r="B827" s="34"/>
      <c r="C827" s="35"/>
      <c r="D827" s="34"/>
      <c r="E827" s="36"/>
      <c r="F827" s="10"/>
      <c r="H827" s="21"/>
      <c r="I827" s="31"/>
      <c r="J827" s="13"/>
    </row>
    <row r="828">
      <c r="A828" s="34"/>
      <c r="B828" s="34"/>
      <c r="C828" s="35"/>
      <c r="D828" s="34"/>
      <c r="E828" s="36"/>
      <c r="F828" s="10"/>
      <c r="H828" s="21"/>
      <c r="I828" s="31"/>
      <c r="J828" s="13"/>
    </row>
    <row r="829">
      <c r="A829" s="34"/>
      <c r="B829" s="34"/>
      <c r="C829" s="35"/>
      <c r="D829" s="34"/>
      <c r="E829" s="36"/>
      <c r="F829" s="10"/>
      <c r="H829" s="21"/>
      <c r="I829" s="31"/>
      <c r="J829" s="13"/>
    </row>
    <row r="830">
      <c r="A830" s="34"/>
      <c r="B830" s="34"/>
      <c r="C830" s="35"/>
      <c r="D830" s="34"/>
      <c r="E830" s="36"/>
      <c r="F830" s="10"/>
      <c r="H830" s="21"/>
      <c r="I830" s="31"/>
      <c r="J830" s="13"/>
    </row>
    <row r="831">
      <c r="A831" s="34"/>
      <c r="B831" s="34"/>
      <c r="C831" s="35"/>
      <c r="D831" s="34"/>
      <c r="E831" s="36"/>
      <c r="F831" s="10"/>
      <c r="H831" s="21"/>
      <c r="I831" s="31"/>
      <c r="J831" s="13"/>
    </row>
    <row r="832">
      <c r="A832" s="34"/>
      <c r="B832" s="34"/>
      <c r="C832" s="35"/>
      <c r="D832" s="34"/>
      <c r="E832" s="36"/>
      <c r="F832" s="10"/>
      <c r="H832" s="21"/>
      <c r="I832" s="31"/>
      <c r="J832" s="13"/>
    </row>
    <row r="833">
      <c r="A833" s="34"/>
      <c r="B833" s="34"/>
      <c r="C833" s="35"/>
      <c r="D833" s="34"/>
      <c r="E833" s="36"/>
      <c r="F833" s="10"/>
      <c r="H833" s="21"/>
      <c r="I833" s="31"/>
      <c r="J833" s="13"/>
    </row>
    <row r="834">
      <c r="A834" s="68"/>
      <c r="B834" s="68"/>
      <c r="C834" s="29"/>
      <c r="D834" s="68"/>
      <c r="E834" s="36"/>
      <c r="F834" s="10"/>
      <c r="H834" s="21"/>
      <c r="I834" s="31"/>
      <c r="J834" s="13"/>
    </row>
    <row r="835">
      <c r="A835" s="34"/>
      <c r="B835" s="34"/>
      <c r="C835" s="35"/>
      <c r="D835" s="34"/>
      <c r="E835" s="36"/>
      <c r="F835" s="10"/>
      <c r="H835" s="21"/>
      <c r="I835" s="31"/>
      <c r="J835" s="13"/>
    </row>
    <row r="836">
      <c r="A836" s="34"/>
      <c r="B836" s="34"/>
      <c r="C836" s="35"/>
      <c r="D836" s="34"/>
      <c r="E836" s="36"/>
      <c r="F836" s="10"/>
      <c r="H836" s="21"/>
      <c r="I836" s="31"/>
      <c r="J836" s="13"/>
    </row>
    <row r="837">
      <c r="A837" s="34"/>
      <c r="B837" s="34"/>
      <c r="C837" s="35"/>
      <c r="D837" s="34"/>
      <c r="E837" s="36"/>
      <c r="F837" s="10"/>
      <c r="H837" s="21"/>
      <c r="I837" s="31"/>
      <c r="J837" s="13"/>
    </row>
    <row r="838">
      <c r="A838" s="34"/>
      <c r="B838" s="34"/>
      <c r="C838" s="35"/>
      <c r="D838" s="34"/>
      <c r="E838" s="36"/>
      <c r="F838" s="10"/>
      <c r="H838" s="21"/>
      <c r="I838" s="31"/>
      <c r="J838" s="13"/>
    </row>
    <row r="839">
      <c r="A839" s="34"/>
      <c r="B839" s="34"/>
      <c r="C839" s="35"/>
      <c r="D839" s="34"/>
      <c r="E839" s="36"/>
      <c r="F839" s="10"/>
      <c r="H839" s="21"/>
      <c r="I839" s="31"/>
      <c r="J839" s="13"/>
    </row>
    <row r="840">
      <c r="A840" s="34"/>
      <c r="B840" s="34"/>
      <c r="C840" s="35"/>
      <c r="D840" s="34"/>
      <c r="E840" s="36"/>
      <c r="F840" s="10"/>
      <c r="H840" s="21"/>
      <c r="I840" s="31"/>
      <c r="J840" s="13"/>
    </row>
    <row r="841">
      <c r="A841" s="34"/>
      <c r="B841" s="34"/>
      <c r="C841" s="35"/>
      <c r="D841" s="34"/>
      <c r="E841" s="36"/>
      <c r="F841" s="10"/>
      <c r="H841" s="21"/>
      <c r="I841" s="31"/>
      <c r="J841" s="13"/>
    </row>
    <row r="842">
      <c r="A842" s="34"/>
      <c r="B842" s="34"/>
      <c r="C842" s="35"/>
      <c r="D842" s="34"/>
      <c r="E842" s="36"/>
      <c r="F842" s="10"/>
      <c r="H842" s="21"/>
      <c r="I842" s="31"/>
      <c r="J842" s="13"/>
    </row>
    <row r="843">
      <c r="A843" s="34"/>
      <c r="B843" s="34"/>
      <c r="C843" s="35"/>
      <c r="D843" s="34"/>
      <c r="E843" s="36"/>
      <c r="F843" s="10"/>
      <c r="H843" s="21"/>
      <c r="I843" s="31"/>
      <c r="J843" s="13"/>
    </row>
    <row r="844">
      <c r="A844" s="34"/>
      <c r="B844" s="34"/>
      <c r="C844" s="35"/>
      <c r="D844" s="34"/>
      <c r="E844" s="36"/>
      <c r="F844" s="10"/>
      <c r="H844" s="21"/>
      <c r="I844" s="31"/>
      <c r="J844" s="13"/>
    </row>
    <row r="845">
      <c r="A845" s="68"/>
      <c r="B845" s="68"/>
      <c r="C845" s="29"/>
      <c r="D845" s="68"/>
      <c r="E845" s="36"/>
      <c r="F845" s="10"/>
      <c r="H845" s="21"/>
      <c r="I845" s="31"/>
      <c r="J845" s="13"/>
    </row>
    <row r="846">
      <c r="A846" s="34"/>
      <c r="B846" s="34"/>
      <c r="C846" s="35"/>
      <c r="D846" s="34"/>
      <c r="E846" s="36"/>
      <c r="F846" s="10"/>
      <c r="H846" s="21"/>
      <c r="I846" s="31"/>
      <c r="J846" s="13"/>
    </row>
    <row r="847">
      <c r="A847" s="34"/>
      <c r="B847" s="34"/>
      <c r="C847" s="35"/>
      <c r="D847" s="34"/>
      <c r="E847" s="36"/>
      <c r="F847" s="10"/>
      <c r="H847" s="21"/>
      <c r="I847" s="31"/>
      <c r="J847" s="13"/>
    </row>
    <row r="848">
      <c r="A848" s="34"/>
      <c r="B848" s="34"/>
      <c r="C848" s="35"/>
      <c r="D848" s="34"/>
      <c r="E848" s="36"/>
      <c r="F848" s="10"/>
      <c r="H848" s="21"/>
      <c r="I848" s="31"/>
      <c r="J848" s="13"/>
    </row>
    <row r="849">
      <c r="A849" s="34"/>
      <c r="B849" s="34"/>
      <c r="C849" s="35"/>
      <c r="D849" s="34"/>
      <c r="E849" s="36"/>
      <c r="F849" s="10"/>
      <c r="H849" s="21"/>
      <c r="I849" s="31"/>
      <c r="J849" s="13"/>
    </row>
    <row r="850">
      <c r="A850" s="34"/>
      <c r="B850" s="34"/>
      <c r="C850" s="35"/>
      <c r="D850" s="34"/>
      <c r="E850" s="36"/>
      <c r="F850" s="10"/>
      <c r="H850" s="21"/>
      <c r="I850" s="31"/>
      <c r="J850" s="13"/>
    </row>
    <row r="851">
      <c r="A851" s="34"/>
      <c r="B851" s="34"/>
      <c r="C851" s="35"/>
      <c r="D851" s="34"/>
      <c r="E851" s="36"/>
      <c r="F851" s="10"/>
      <c r="H851" s="21"/>
      <c r="I851" s="31"/>
      <c r="J851" s="13"/>
    </row>
    <row r="852">
      <c r="A852" s="34"/>
      <c r="B852" s="34"/>
      <c r="C852" s="35"/>
      <c r="D852" s="34"/>
      <c r="E852" s="36"/>
      <c r="F852" s="10"/>
      <c r="H852" s="21"/>
      <c r="I852" s="31"/>
      <c r="J852" s="13"/>
    </row>
    <row r="853">
      <c r="A853" s="34"/>
      <c r="B853" s="34"/>
      <c r="C853" s="35"/>
      <c r="D853" s="34"/>
      <c r="E853" s="36"/>
      <c r="F853" s="10"/>
      <c r="H853" s="21"/>
      <c r="I853" s="31"/>
      <c r="J853" s="13"/>
    </row>
    <row r="854">
      <c r="A854" s="34"/>
      <c r="B854" s="34"/>
      <c r="C854" s="35"/>
      <c r="D854" s="34"/>
      <c r="E854" s="36"/>
      <c r="F854" s="10"/>
      <c r="H854" s="21"/>
      <c r="I854" s="31"/>
      <c r="J854" s="13"/>
    </row>
    <row r="855">
      <c r="A855" s="34"/>
      <c r="B855" s="34"/>
      <c r="C855" s="35"/>
      <c r="D855" s="34"/>
      <c r="E855" s="36"/>
      <c r="F855" s="10"/>
      <c r="H855" s="21"/>
      <c r="I855" s="31"/>
      <c r="J855" s="13"/>
    </row>
    <row r="856">
      <c r="A856" s="34"/>
      <c r="B856" s="34"/>
      <c r="C856" s="35"/>
      <c r="D856" s="34"/>
      <c r="E856" s="36"/>
      <c r="F856" s="10"/>
      <c r="H856" s="21"/>
      <c r="I856" s="31"/>
      <c r="J856" s="13"/>
    </row>
    <row r="857">
      <c r="A857" s="34"/>
      <c r="B857" s="34"/>
      <c r="C857" s="35"/>
      <c r="D857" s="34"/>
      <c r="E857" s="36"/>
      <c r="F857" s="10"/>
      <c r="H857" s="21"/>
      <c r="I857" s="31"/>
      <c r="J857" s="13"/>
    </row>
    <row r="858">
      <c r="A858" s="34"/>
      <c r="B858" s="34"/>
      <c r="C858" s="35"/>
      <c r="D858" s="34"/>
      <c r="E858" s="36"/>
      <c r="F858" s="10"/>
      <c r="H858" s="21"/>
      <c r="I858" s="31"/>
      <c r="J858" s="13"/>
    </row>
    <row r="859">
      <c r="A859" s="28"/>
      <c r="B859" s="28"/>
      <c r="C859" s="29"/>
      <c r="D859" s="28"/>
      <c r="E859" s="30"/>
      <c r="F859" s="10"/>
      <c r="H859" s="21"/>
      <c r="I859" s="31"/>
      <c r="J859" s="13"/>
    </row>
    <row r="860">
      <c r="A860" s="28"/>
      <c r="B860" s="28"/>
      <c r="C860" s="29"/>
      <c r="D860" s="28"/>
      <c r="E860" s="30"/>
      <c r="F860" s="10"/>
      <c r="H860" s="21"/>
      <c r="I860" s="31"/>
      <c r="J860" s="13"/>
    </row>
    <row r="861">
      <c r="A861" s="32"/>
      <c r="B861" s="32"/>
      <c r="C861" s="33"/>
      <c r="D861" s="32"/>
      <c r="E861" s="33"/>
      <c r="F861" s="10"/>
      <c r="H861" s="21"/>
      <c r="I861" s="31"/>
      <c r="J861" s="13"/>
    </row>
    <row r="862">
      <c r="A862" s="32"/>
      <c r="B862" s="32"/>
      <c r="C862" s="33"/>
      <c r="D862" s="32"/>
      <c r="E862" s="33"/>
      <c r="F862" s="10"/>
      <c r="H862" s="21"/>
      <c r="I862" s="31"/>
      <c r="J862" s="13"/>
    </row>
    <row r="863">
      <c r="A863" s="32"/>
      <c r="B863" s="32"/>
      <c r="C863" s="33"/>
      <c r="D863" s="32"/>
      <c r="E863" s="33"/>
      <c r="F863" s="10"/>
      <c r="H863" s="21"/>
      <c r="I863" s="31"/>
      <c r="J863" s="13"/>
    </row>
    <row r="864">
      <c r="A864" s="32"/>
      <c r="B864" s="32"/>
      <c r="C864" s="33"/>
      <c r="D864" s="32"/>
      <c r="E864" s="33"/>
      <c r="F864" s="10"/>
      <c r="H864" s="21"/>
      <c r="I864" s="31"/>
      <c r="J864" s="13"/>
    </row>
    <row r="865">
      <c r="A865" s="32"/>
      <c r="B865" s="32"/>
      <c r="C865" s="33"/>
      <c r="D865" s="32"/>
      <c r="E865" s="33"/>
      <c r="F865" s="10"/>
      <c r="H865" s="21"/>
      <c r="I865" s="31"/>
      <c r="J865" s="13"/>
    </row>
    <row r="866">
      <c r="A866" s="32"/>
      <c r="B866" s="32"/>
      <c r="C866" s="33"/>
      <c r="D866" s="32"/>
      <c r="E866" s="33"/>
      <c r="F866" s="10"/>
      <c r="H866" s="21"/>
      <c r="I866" s="31"/>
      <c r="J866" s="13"/>
    </row>
    <row r="867">
      <c r="A867" s="32"/>
      <c r="B867" s="32"/>
      <c r="C867" s="33"/>
      <c r="D867" s="32"/>
      <c r="E867" s="33"/>
      <c r="F867" s="10"/>
      <c r="H867" s="21"/>
      <c r="I867" s="31"/>
      <c r="J867" s="13"/>
    </row>
    <row r="868">
      <c r="A868" s="32"/>
      <c r="B868" s="32"/>
      <c r="C868" s="33"/>
      <c r="D868" s="32"/>
      <c r="E868" s="33"/>
      <c r="F868" s="10"/>
      <c r="H868" s="21"/>
      <c r="I868" s="31"/>
      <c r="J868" s="13"/>
    </row>
    <row r="869">
      <c r="A869" s="32"/>
      <c r="B869" s="32"/>
      <c r="C869" s="33"/>
      <c r="D869" s="32"/>
      <c r="E869" s="33"/>
      <c r="F869" s="10"/>
      <c r="H869" s="21"/>
      <c r="I869" s="31"/>
      <c r="J869" s="13"/>
    </row>
    <row r="870">
      <c r="A870" s="32"/>
      <c r="B870" s="32"/>
      <c r="C870" s="33"/>
      <c r="D870" s="32"/>
      <c r="E870" s="33"/>
      <c r="F870" s="10"/>
      <c r="H870" s="21"/>
      <c r="I870" s="31"/>
      <c r="J870" s="13"/>
    </row>
    <row r="871">
      <c r="A871" s="32"/>
      <c r="B871" s="32"/>
      <c r="C871" s="33"/>
      <c r="D871" s="32"/>
      <c r="E871" s="33"/>
      <c r="F871" s="10"/>
      <c r="H871" s="21"/>
      <c r="I871" s="31"/>
      <c r="J871" s="13"/>
    </row>
    <row r="872">
      <c r="A872" s="32"/>
      <c r="B872" s="32"/>
      <c r="C872" s="33"/>
      <c r="D872" s="32"/>
      <c r="E872" s="33"/>
      <c r="F872" s="10"/>
      <c r="H872" s="21"/>
      <c r="I872" s="31"/>
      <c r="J872" s="13"/>
    </row>
    <row r="873">
      <c r="A873" s="32"/>
      <c r="B873" s="32"/>
      <c r="C873" s="33"/>
      <c r="D873" s="32"/>
      <c r="E873" s="33"/>
      <c r="F873" s="10"/>
      <c r="H873" s="21"/>
      <c r="I873" s="31"/>
      <c r="J873" s="13"/>
    </row>
    <row r="874">
      <c r="A874" s="32"/>
      <c r="B874" s="32"/>
      <c r="C874" s="33"/>
      <c r="D874" s="32"/>
      <c r="E874" s="33"/>
      <c r="F874" s="10"/>
      <c r="H874" s="21"/>
      <c r="I874" s="31"/>
      <c r="J874" s="13"/>
    </row>
    <row r="875">
      <c r="A875" s="32"/>
      <c r="B875" s="32"/>
      <c r="C875" s="33"/>
      <c r="D875" s="32"/>
      <c r="E875" s="33"/>
      <c r="F875" s="10"/>
      <c r="H875" s="21"/>
      <c r="I875" s="31"/>
      <c r="J875" s="13"/>
    </row>
    <row r="876">
      <c r="A876" s="32"/>
      <c r="B876" s="32"/>
      <c r="C876" s="33"/>
      <c r="D876" s="32"/>
      <c r="E876" s="33"/>
      <c r="F876" s="10"/>
      <c r="H876" s="21"/>
      <c r="I876" s="31"/>
      <c r="J876" s="13"/>
    </row>
    <row r="877">
      <c r="A877" s="32"/>
      <c r="B877" s="32"/>
      <c r="C877" s="33"/>
      <c r="D877" s="32"/>
      <c r="E877" s="33"/>
      <c r="F877" s="10"/>
      <c r="H877" s="21"/>
      <c r="I877" s="31"/>
      <c r="J877" s="13"/>
    </row>
    <row r="878">
      <c r="A878" s="32"/>
      <c r="B878" s="32"/>
      <c r="C878" s="33"/>
      <c r="D878" s="32"/>
      <c r="E878" s="33"/>
      <c r="F878" s="10"/>
      <c r="H878" s="21"/>
      <c r="I878" s="31"/>
      <c r="J878" s="13"/>
    </row>
    <row r="879">
      <c r="A879" s="32"/>
      <c r="B879" s="32"/>
      <c r="C879" s="33"/>
      <c r="D879" s="32"/>
      <c r="E879" s="33"/>
      <c r="F879" s="10"/>
      <c r="H879" s="21"/>
      <c r="I879" s="31"/>
      <c r="J879" s="13"/>
    </row>
    <row r="880">
      <c r="A880" s="32"/>
      <c r="B880" s="32"/>
      <c r="C880" s="33"/>
      <c r="D880" s="32"/>
      <c r="E880" s="33"/>
      <c r="F880" s="10"/>
      <c r="H880" s="21"/>
      <c r="I880" s="31"/>
      <c r="J880" s="13"/>
    </row>
    <row r="881">
      <c r="A881" s="32"/>
      <c r="B881" s="32"/>
      <c r="C881" s="33"/>
      <c r="D881" s="32"/>
      <c r="E881" s="33"/>
      <c r="F881" s="10"/>
      <c r="H881" s="21"/>
      <c r="I881" s="31"/>
      <c r="J881" s="13"/>
    </row>
    <row r="882">
      <c r="A882" s="32"/>
      <c r="B882" s="32"/>
      <c r="C882" s="33"/>
      <c r="D882" s="32"/>
      <c r="E882" s="33"/>
      <c r="F882" s="10"/>
      <c r="H882" s="21"/>
      <c r="I882" s="31"/>
      <c r="J882" s="13"/>
    </row>
    <row r="883">
      <c r="A883" s="32"/>
      <c r="B883" s="32"/>
      <c r="C883" s="33"/>
      <c r="D883" s="32"/>
      <c r="E883" s="33"/>
      <c r="F883" s="10"/>
      <c r="H883" s="21"/>
      <c r="I883" s="31"/>
      <c r="J883" s="13"/>
    </row>
    <row r="884">
      <c r="A884" s="32"/>
      <c r="B884" s="32"/>
      <c r="C884" s="33"/>
      <c r="D884" s="32"/>
      <c r="E884" s="33"/>
      <c r="F884" s="10"/>
      <c r="H884" s="21"/>
      <c r="I884" s="31"/>
      <c r="J884" s="13"/>
    </row>
    <row r="885">
      <c r="A885" s="32"/>
      <c r="B885" s="32"/>
      <c r="C885" s="33"/>
      <c r="D885" s="32"/>
      <c r="E885" s="33"/>
      <c r="F885" s="10"/>
      <c r="H885" s="21"/>
      <c r="I885" s="31"/>
      <c r="J885" s="13"/>
    </row>
    <row r="886">
      <c r="A886" s="32"/>
      <c r="B886" s="32"/>
      <c r="C886" s="33"/>
      <c r="D886" s="32"/>
      <c r="E886" s="33"/>
      <c r="F886" s="10"/>
      <c r="H886" s="21"/>
      <c r="I886" s="31"/>
      <c r="J886" s="13"/>
    </row>
    <row r="887">
      <c r="A887" s="32"/>
      <c r="B887" s="32"/>
      <c r="C887" s="33"/>
      <c r="D887" s="32"/>
      <c r="E887" s="33"/>
      <c r="F887" s="10"/>
      <c r="H887" s="21"/>
      <c r="I887" s="31"/>
      <c r="J887" s="13"/>
    </row>
    <row r="888">
      <c r="A888" s="32"/>
      <c r="B888" s="32"/>
      <c r="C888" s="33"/>
      <c r="D888" s="32"/>
      <c r="E888" s="33"/>
      <c r="F888" s="10"/>
      <c r="H888" s="21"/>
      <c r="I888" s="31"/>
      <c r="J888" s="13"/>
    </row>
    <row r="889">
      <c r="A889" s="32"/>
      <c r="B889" s="32"/>
      <c r="C889" s="33"/>
      <c r="D889" s="32"/>
      <c r="E889" s="33"/>
      <c r="F889" s="10"/>
      <c r="H889" s="21"/>
      <c r="I889" s="31"/>
      <c r="J889" s="13"/>
    </row>
    <row r="890">
      <c r="A890" s="32"/>
      <c r="B890" s="32"/>
      <c r="C890" s="33"/>
      <c r="D890" s="32"/>
      <c r="E890" s="33"/>
      <c r="F890" s="10"/>
      <c r="H890" s="21"/>
      <c r="I890" s="31"/>
      <c r="J890" s="13"/>
    </row>
    <row r="891">
      <c r="A891" s="32"/>
      <c r="B891" s="32"/>
      <c r="C891" s="33"/>
      <c r="D891" s="32"/>
      <c r="E891" s="33"/>
      <c r="F891" s="10"/>
      <c r="H891" s="21"/>
      <c r="I891" s="31"/>
      <c r="J891" s="13"/>
    </row>
    <row r="892">
      <c r="A892" s="32"/>
      <c r="B892" s="32"/>
      <c r="C892" s="33"/>
      <c r="D892" s="32"/>
      <c r="E892" s="33"/>
      <c r="F892" s="10"/>
      <c r="H892" s="21"/>
      <c r="I892" s="31"/>
      <c r="J892" s="13"/>
    </row>
    <row r="893">
      <c r="A893" s="32"/>
      <c r="B893" s="32"/>
      <c r="C893" s="33"/>
      <c r="D893" s="32"/>
      <c r="E893" s="33"/>
      <c r="F893" s="10"/>
      <c r="H893" s="21"/>
      <c r="I893" s="31"/>
      <c r="J893" s="13"/>
    </row>
    <row r="894">
      <c r="A894" s="32"/>
      <c r="B894" s="32"/>
      <c r="C894" s="33"/>
      <c r="D894" s="32"/>
      <c r="E894" s="33"/>
      <c r="F894" s="10"/>
      <c r="H894" s="21"/>
      <c r="I894" s="31"/>
      <c r="J894" s="13"/>
    </row>
    <row r="895">
      <c r="A895" s="32"/>
      <c r="B895" s="32"/>
      <c r="C895" s="33"/>
      <c r="D895" s="32"/>
      <c r="E895" s="33"/>
      <c r="F895" s="10"/>
      <c r="H895" s="21"/>
      <c r="I895" s="31"/>
      <c r="J895" s="13"/>
    </row>
    <row r="896">
      <c r="A896" s="32"/>
      <c r="B896" s="32"/>
      <c r="C896" s="33"/>
      <c r="D896" s="32"/>
      <c r="E896" s="33"/>
      <c r="F896" s="10"/>
      <c r="H896" s="21"/>
      <c r="I896" s="31"/>
      <c r="J896" s="13"/>
    </row>
    <row r="897">
      <c r="A897" s="32"/>
      <c r="B897" s="32"/>
      <c r="C897" s="33"/>
      <c r="D897" s="32"/>
      <c r="E897" s="33"/>
      <c r="F897" s="10"/>
      <c r="H897" s="21"/>
      <c r="I897" s="31"/>
      <c r="J897" s="13"/>
    </row>
    <row r="898">
      <c r="A898" s="32"/>
      <c r="B898" s="32"/>
      <c r="C898" s="33"/>
      <c r="D898" s="32"/>
      <c r="E898" s="33"/>
      <c r="F898" s="10"/>
      <c r="H898" s="21"/>
      <c r="I898" s="31"/>
      <c r="J898" s="13"/>
    </row>
    <row r="899">
      <c r="A899" s="32"/>
      <c r="B899" s="32"/>
      <c r="C899" s="33"/>
      <c r="D899" s="32"/>
      <c r="E899" s="33"/>
      <c r="F899" s="10"/>
      <c r="H899" s="21"/>
      <c r="I899" s="31"/>
      <c r="J899" s="13"/>
    </row>
    <row r="900">
      <c r="A900" s="32"/>
      <c r="B900" s="32"/>
      <c r="C900" s="33"/>
      <c r="D900" s="32"/>
      <c r="E900" s="33"/>
      <c r="F900" s="10"/>
      <c r="H900" s="21"/>
      <c r="I900" s="31"/>
      <c r="J900" s="13"/>
    </row>
    <row r="901">
      <c r="A901" s="32"/>
      <c r="B901" s="32"/>
      <c r="C901" s="33"/>
      <c r="D901" s="32"/>
      <c r="E901" s="33"/>
      <c r="F901" s="10"/>
      <c r="H901" s="21"/>
      <c r="I901" s="31"/>
      <c r="J901" s="13"/>
    </row>
    <row r="902">
      <c r="A902" s="32"/>
      <c r="B902" s="32"/>
      <c r="C902" s="33"/>
      <c r="D902" s="32"/>
      <c r="E902" s="33"/>
      <c r="F902" s="10"/>
      <c r="H902" s="21"/>
      <c r="I902" s="31"/>
      <c r="J902" s="13"/>
    </row>
    <row r="903">
      <c r="A903" s="32"/>
      <c r="B903" s="32"/>
      <c r="C903" s="33"/>
      <c r="D903" s="32"/>
      <c r="E903" s="33"/>
      <c r="F903" s="10"/>
      <c r="H903" s="21"/>
      <c r="I903" s="31"/>
      <c r="J903" s="13"/>
    </row>
    <row r="904">
      <c r="A904" s="32"/>
      <c r="B904" s="32"/>
      <c r="C904" s="33"/>
      <c r="D904" s="32"/>
      <c r="E904" s="33"/>
      <c r="F904" s="10"/>
      <c r="H904" s="21"/>
      <c r="I904" s="31"/>
      <c r="J904" s="13"/>
    </row>
    <row r="905">
      <c r="A905" s="32"/>
      <c r="B905" s="32"/>
      <c r="C905" s="33"/>
      <c r="D905" s="32"/>
      <c r="E905" s="33"/>
      <c r="F905" s="10"/>
      <c r="H905" s="21"/>
      <c r="I905" s="31"/>
      <c r="J905" s="13"/>
    </row>
    <row r="906">
      <c r="A906" s="32"/>
      <c r="B906" s="32"/>
      <c r="C906" s="33"/>
      <c r="D906" s="32"/>
      <c r="E906" s="33"/>
      <c r="F906" s="10"/>
      <c r="H906" s="21"/>
      <c r="I906" s="31"/>
      <c r="J906" s="13"/>
    </row>
    <row r="907">
      <c r="A907" s="32"/>
      <c r="B907" s="32"/>
      <c r="C907" s="33"/>
      <c r="D907" s="32"/>
      <c r="E907" s="33"/>
      <c r="F907" s="10"/>
      <c r="H907" s="21"/>
      <c r="I907" s="31"/>
      <c r="J907" s="13"/>
    </row>
    <row r="908">
      <c r="A908" s="32"/>
      <c r="B908" s="32"/>
      <c r="C908" s="33"/>
      <c r="D908" s="32"/>
      <c r="E908" s="33"/>
      <c r="F908" s="10"/>
      <c r="H908" s="21"/>
      <c r="I908" s="31"/>
      <c r="J908" s="13"/>
    </row>
    <row r="909">
      <c r="A909" s="32"/>
      <c r="B909" s="32"/>
      <c r="C909" s="33"/>
      <c r="D909" s="32"/>
      <c r="E909" s="33"/>
      <c r="F909" s="10"/>
      <c r="H909" s="21"/>
      <c r="I909" s="31"/>
      <c r="J909" s="13"/>
    </row>
    <row r="910">
      <c r="A910" s="32"/>
      <c r="B910" s="32"/>
      <c r="C910" s="33"/>
      <c r="D910" s="32"/>
      <c r="E910" s="33"/>
      <c r="F910" s="10"/>
      <c r="H910" s="21"/>
      <c r="I910" s="31"/>
      <c r="J910" s="13"/>
    </row>
    <row r="911">
      <c r="A911" s="32"/>
      <c r="B911" s="32"/>
      <c r="C911" s="33"/>
      <c r="D911" s="32"/>
      <c r="E911" s="33"/>
      <c r="F911" s="10"/>
      <c r="H911" s="21"/>
      <c r="I911" s="31"/>
      <c r="J911" s="13"/>
    </row>
    <row r="912">
      <c r="A912" s="32"/>
      <c r="B912" s="32"/>
      <c r="C912" s="33"/>
      <c r="D912" s="32"/>
      <c r="E912" s="33"/>
      <c r="F912" s="10"/>
      <c r="H912" s="21"/>
      <c r="I912" s="31"/>
      <c r="J912" s="13"/>
    </row>
    <row r="913">
      <c r="A913" s="32"/>
      <c r="B913" s="32"/>
      <c r="C913" s="33"/>
      <c r="D913" s="32"/>
      <c r="E913" s="33"/>
      <c r="F913" s="10"/>
      <c r="H913" s="21"/>
      <c r="I913" s="31"/>
      <c r="J913" s="13"/>
    </row>
    <row r="914">
      <c r="A914" s="32"/>
      <c r="B914" s="32"/>
      <c r="C914" s="33"/>
      <c r="D914" s="32"/>
      <c r="E914" s="33"/>
      <c r="F914" s="10"/>
      <c r="H914" s="21"/>
      <c r="I914" s="31"/>
      <c r="J914" s="13"/>
    </row>
    <row r="915">
      <c r="A915" s="32"/>
      <c r="B915" s="32"/>
      <c r="C915" s="33"/>
      <c r="D915" s="32"/>
      <c r="E915" s="33"/>
      <c r="F915" s="10"/>
      <c r="H915" s="21"/>
      <c r="I915" s="31"/>
      <c r="J915" s="13"/>
    </row>
    <row r="916">
      <c r="A916" s="32"/>
      <c r="B916" s="32"/>
      <c r="C916" s="33"/>
      <c r="D916" s="32"/>
      <c r="E916" s="33"/>
      <c r="F916" s="10"/>
      <c r="H916" s="21"/>
      <c r="I916" s="31"/>
      <c r="J916" s="13"/>
    </row>
    <row r="917">
      <c r="A917" s="32"/>
      <c r="B917" s="32"/>
      <c r="C917" s="33"/>
      <c r="D917" s="32"/>
      <c r="E917" s="33"/>
      <c r="F917" s="10"/>
      <c r="H917" s="21"/>
      <c r="I917" s="31"/>
      <c r="J917" s="13"/>
    </row>
    <row r="918">
      <c r="A918" s="32"/>
      <c r="B918" s="32"/>
      <c r="C918" s="33"/>
      <c r="D918" s="32"/>
      <c r="E918" s="33"/>
      <c r="F918" s="10"/>
      <c r="H918" s="21"/>
      <c r="I918" s="31"/>
      <c r="J918" s="13"/>
    </row>
    <row r="919">
      <c r="A919" s="32"/>
      <c r="B919" s="32"/>
      <c r="C919" s="33"/>
      <c r="D919" s="32"/>
      <c r="E919" s="33"/>
      <c r="F919" s="10"/>
      <c r="H919" s="21"/>
      <c r="I919" s="31"/>
      <c r="J919" s="13"/>
    </row>
    <row r="920">
      <c r="A920" s="32"/>
      <c r="B920" s="32"/>
      <c r="C920" s="33"/>
      <c r="D920" s="32"/>
      <c r="E920" s="33"/>
      <c r="F920" s="10"/>
      <c r="H920" s="21"/>
      <c r="I920" s="31"/>
      <c r="J920" s="13"/>
    </row>
    <row r="921">
      <c r="A921" s="32"/>
      <c r="B921" s="32"/>
      <c r="C921" s="33"/>
      <c r="D921" s="32"/>
      <c r="E921" s="33"/>
      <c r="F921" s="10"/>
      <c r="H921" s="21"/>
      <c r="I921" s="31"/>
      <c r="J921" s="13"/>
    </row>
    <row r="922">
      <c r="A922" s="32"/>
      <c r="B922" s="32"/>
      <c r="C922" s="33"/>
      <c r="D922" s="32"/>
      <c r="E922" s="33"/>
      <c r="F922" s="10"/>
      <c r="H922" s="21"/>
      <c r="I922" s="31"/>
      <c r="J922" s="13"/>
    </row>
    <row r="923">
      <c r="A923" s="32"/>
      <c r="B923" s="32"/>
      <c r="C923" s="33"/>
      <c r="D923" s="32"/>
      <c r="E923" s="33"/>
      <c r="F923" s="10"/>
      <c r="H923" s="21"/>
      <c r="I923" s="31"/>
      <c r="J923" s="13"/>
    </row>
    <row r="924">
      <c r="A924" s="32"/>
      <c r="B924" s="32"/>
      <c r="C924" s="33"/>
      <c r="D924" s="32"/>
      <c r="E924" s="33"/>
      <c r="F924" s="10"/>
      <c r="H924" s="21"/>
      <c r="I924" s="31"/>
      <c r="J924" s="13"/>
    </row>
    <row r="925">
      <c r="A925" s="32"/>
      <c r="B925" s="32"/>
      <c r="C925" s="33"/>
      <c r="D925" s="32"/>
      <c r="E925" s="33"/>
      <c r="F925" s="10"/>
      <c r="H925" s="21"/>
      <c r="I925" s="31"/>
      <c r="J925" s="13"/>
    </row>
    <row r="926">
      <c r="A926" s="32"/>
      <c r="B926" s="32"/>
      <c r="C926" s="33"/>
      <c r="D926" s="32"/>
      <c r="E926" s="33"/>
      <c r="F926" s="10"/>
      <c r="H926" s="21"/>
      <c r="I926" s="31"/>
      <c r="J926" s="13"/>
    </row>
    <row r="927">
      <c r="A927" s="32"/>
      <c r="B927" s="32"/>
      <c r="C927" s="33"/>
      <c r="D927" s="32"/>
      <c r="E927" s="33"/>
      <c r="F927" s="10"/>
      <c r="H927" s="21"/>
      <c r="I927" s="31"/>
      <c r="J927" s="13"/>
    </row>
    <row r="928">
      <c r="A928" s="32"/>
      <c r="B928" s="32"/>
      <c r="C928" s="33"/>
      <c r="D928" s="32"/>
      <c r="E928" s="33"/>
      <c r="F928" s="10"/>
      <c r="H928" s="21"/>
      <c r="I928" s="31"/>
      <c r="J928" s="13"/>
    </row>
    <row r="929">
      <c r="A929" s="32"/>
      <c r="B929" s="32"/>
      <c r="C929" s="33"/>
      <c r="D929" s="32"/>
      <c r="E929" s="33"/>
      <c r="F929" s="10"/>
      <c r="H929" s="21"/>
      <c r="I929" s="31"/>
      <c r="J929" s="13"/>
    </row>
    <row r="930">
      <c r="A930" s="32"/>
      <c r="B930" s="32"/>
      <c r="C930" s="33"/>
      <c r="D930" s="32"/>
      <c r="E930" s="33"/>
      <c r="F930" s="10"/>
      <c r="H930" s="21"/>
      <c r="I930" s="31"/>
      <c r="J930" s="13"/>
    </row>
    <row r="931">
      <c r="A931" s="32"/>
      <c r="B931" s="32"/>
      <c r="C931" s="33"/>
      <c r="D931" s="32"/>
      <c r="E931" s="33"/>
      <c r="F931" s="10"/>
      <c r="H931" s="21"/>
      <c r="I931" s="31"/>
      <c r="J931" s="13"/>
    </row>
    <row r="932">
      <c r="A932" s="32"/>
      <c r="B932" s="32"/>
      <c r="C932" s="33"/>
      <c r="D932" s="32"/>
      <c r="E932" s="33"/>
      <c r="F932" s="10"/>
      <c r="H932" s="21"/>
      <c r="I932" s="31"/>
      <c r="J932" s="13"/>
    </row>
    <row r="933">
      <c r="A933" s="32"/>
      <c r="B933" s="32"/>
      <c r="C933" s="33"/>
      <c r="D933" s="32"/>
      <c r="E933" s="33"/>
      <c r="F933" s="10"/>
      <c r="H933" s="21"/>
      <c r="I933" s="31"/>
      <c r="J933" s="13"/>
    </row>
    <row r="934">
      <c r="A934" s="32"/>
      <c r="B934" s="32"/>
      <c r="C934" s="33"/>
      <c r="D934" s="32"/>
      <c r="E934" s="33"/>
      <c r="F934" s="10"/>
      <c r="H934" s="21"/>
      <c r="I934" s="31"/>
      <c r="J934" s="13"/>
    </row>
    <row r="935">
      <c r="A935" s="32"/>
      <c r="B935" s="32"/>
      <c r="C935" s="33"/>
      <c r="D935" s="32"/>
      <c r="E935" s="33"/>
      <c r="F935" s="10"/>
      <c r="H935" s="21"/>
      <c r="I935" s="31"/>
      <c r="J935" s="13"/>
    </row>
    <row r="936">
      <c r="A936" s="32"/>
      <c r="B936" s="32"/>
      <c r="C936" s="33"/>
      <c r="D936" s="32"/>
      <c r="E936" s="33"/>
      <c r="F936" s="10"/>
      <c r="H936" s="21"/>
      <c r="I936" s="31"/>
      <c r="J936" s="13"/>
    </row>
    <row r="937">
      <c r="A937" s="32"/>
      <c r="B937" s="32"/>
      <c r="C937" s="33"/>
      <c r="D937" s="32"/>
      <c r="E937" s="33"/>
      <c r="F937" s="10"/>
      <c r="H937" s="21"/>
      <c r="I937" s="31"/>
      <c r="J937" s="13"/>
    </row>
    <row r="938">
      <c r="A938" s="32"/>
      <c r="B938" s="32"/>
      <c r="C938" s="33"/>
      <c r="D938" s="32"/>
      <c r="E938" s="33"/>
      <c r="F938" s="10"/>
      <c r="H938" s="21"/>
      <c r="I938" s="31"/>
      <c r="J938" s="13"/>
    </row>
    <row r="939">
      <c r="A939" s="32"/>
      <c r="B939" s="32"/>
      <c r="C939" s="33"/>
      <c r="D939" s="32"/>
      <c r="E939" s="33"/>
      <c r="F939" s="10"/>
      <c r="H939" s="21"/>
      <c r="I939" s="31"/>
      <c r="J939" s="13"/>
    </row>
    <row r="940">
      <c r="A940" s="32"/>
      <c r="B940" s="32"/>
      <c r="C940" s="33"/>
      <c r="D940" s="32"/>
      <c r="E940" s="33"/>
      <c r="F940" s="10"/>
      <c r="H940" s="21"/>
      <c r="I940" s="31"/>
      <c r="J940" s="13"/>
    </row>
    <row r="941">
      <c r="A941" s="32"/>
      <c r="B941" s="32"/>
      <c r="C941" s="33"/>
      <c r="D941" s="32"/>
      <c r="E941" s="33"/>
      <c r="F941" s="10"/>
      <c r="H941" s="21"/>
      <c r="I941" s="31"/>
      <c r="J941" s="13"/>
    </row>
    <row r="942">
      <c r="A942" s="32"/>
      <c r="B942" s="32"/>
      <c r="C942" s="33"/>
      <c r="D942" s="32"/>
      <c r="E942" s="33"/>
      <c r="F942" s="10"/>
      <c r="H942" s="21"/>
      <c r="I942" s="31"/>
      <c r="J942" s="13"/>
    </row>
    <row r="943">
      <c r="A943" s="32"/>
      <c r="B943" s="32"/>
      <c r="C943" s="33"/>
      <c r="D943" s="32"/>
      <c r="E943" s="33"/>
      <c r="F943" s="10"/>
      <c r="H943" s="21"/>
      <c r="I943" s="31"/>
      <c r="J943" s="13"/>
    </row>
    <row r="944">
      <c r="A944" s="32"/>
      <c r="B944" s="32"/>
      <c r="C944" s="33"/>
      <c r="D944" s="32"/>
      <c r="E944" s="33"/>
      <c r="F944" s="10"/>
      <c r="H944" s="21"/>
      <c r="I944" s="31"/>
      <c r="J944" s="13"/>
    </row>
    <row r="945">
      <c r="A945" s="32"/>
      <c r="B945" s="32"/>
      <c r="C945" s="33"/>
      <c r="D945" s="32"/>
      <c r="E945" s="33"/>
      <c r="F945" s="10"/>
      <c r="H945" s="21"/>
      <c r="I945" s="31"/>
      <c r="J945" s="13"/>
    </row>
    <row r="946">
      <c r="A946" s="32"/>
      <c r="B946" s="32"/>
      <c r="C946" s="33"/>
      <c r="D946" s="32"/>
      <c r="E946" s="33"/>
      <c r="F946" s="10"/>
      <c r="H946" s="21"/>
      <c r="I946" s="31"/>
      <c r="J946" s="13"/>
    </row>
    <row r="947">
      <c r="A947" s="32"/>
      <c r="B947" s="32"/>
      <c r="C947" s="33"/>
      <c r="D947" s="32"/>
      <c r="E947" s="33"/>
      <c r="F947" s="10"/>
      <c r="H947" s="21"/>
      <c r="I947" s="31"/>
      <c r="J947" s="13"/>
    </row>
    <row r="948">
      <c r="A948" s="32"/>
      <c r="B948" s="32"/>
      <c r="C948" s="33"/>
      <c r="D948" s="32"/>
      <c r="E948" s="33"/>
      <c r="F948" s="10"/>
      <c r="H948" s="21"/>
      <c r="I948" s="31"/>
      <c r="J948" s="13"/>
    </row>
    <row r="949">
      <c r="A949" s="32"/>
      <c r="B949" s="32"/>
      <c r="C949" s="33"/>
      <c r="D949" s="32"/>
      <c r="E949" s="33"/>
      <c r="F949" s="10"/>
      <c r="H949" s="21"/>
      <c r="I949" s="31"/>
      <c r="J949" s="13"/>
    </row>
    <row r="950">
      <c r="A950" s="32"/>
      <c r="B950" s="32"/>
      <c r="C950" s="33"/>
      <c r="D950" s="32"/>
      <c r="E950" s="33"/>
      <c r="F950" s="10"/>
      <c r="H950" s="21"/>
      <c r="I950" s="31"/>
      <c r="J950" s="13"/>
    </row>
    <row r="951">
      <c r="A951" s="32"/>
      <c r="B951" s="32"/>
      <c r="C951" s="33"/>
      <c r="D951" s="32"/>
      <c r="E951" s="33"/>
      <c r="F951" s="10"/>
      <c r="H951" s="21"/>
      <c r="I951" s="31"/>
      <c r="J951" s="13"/>
    </row>
    <row r="952">
      <c r="A952" s="32"/>
      <c r="B952" s="32"/>
      <c r="C952" s="33"/>
      <c r="D952" s="32"/>
      <c r="E952" s="33"/>
      <c r="F952" s="10"/>
      <c r="H952" s="21"/>
      <c r="I952" s="31"/>
      <c r="J952" s="13"/>
    </row>
    <row r="953">
      <c r="A953" s="32"/>
      <c r="B953" s="32"/>
      <c r="C953" s="33"/>
      <c r="D953" s="32"/>
      <c r="E953" s="33"/>
      <c r="F953" s="10"/>
      <c r="H953" s="21"/>
      <c r="I953" s="31"/>
      <c r="J953" s="13"/>
    </row>
    <row r="954">
      <c r="A954" s="32"/>
      <c r="B954" s="32"/>
      <c r="C954" s="33"/>
      <c r="D954" s="32"/>
      <c r="E954" s="33"/>
      <c r="F954" s="10"/>
      <c r="H954" s="21"/>
      <c r="I954" s="31"/>
      <c r="J954" s="13"/>
    </row>
    <row r="955">
      <c r="A955" s="32"/>
      <c r="B955" s="32"/>
      <c r="C955" s="33"/>
      <c r="D955" s="32"/>
      <c r="E955" s="33"/>
      <c r="F955" s="10"/>
      <c r="H955" s="21"/>
      <c r="I955" s="31"/>
      <c r="J955" s="13"/>
    </row>
    <row r="956">
      <c r="A956" s="32"/>
      <c r="B956" s="32"/>
      <c r="C956" s="33"/>
      <c r="D956" s="32"/>
      <c r="E956" s="33"/>
      <c r="F956" s="10"/>
      <c r="H956" s="21"/>
      <c r="I956" s="31"/>
      <c r="J956" s="13"/>
    </row>
    <row r="957">
      <c r="A957" s="32"/>
      <c r="B957" s="32"/>
      <c r="C957" s="33"/>
      <c r="D957" s="32"/>
      <c r="E957" s="33"/>
      <c r="F957" s="10"/>
      <c r="H957" s="21"/>
      <c r="I957" s="31"/>
      <c r="J957" s="13"/>
    </row>
    <row r="958">
      <c r="A958" s="32"/>
      <c r="B958" s="32"/>
      <c r="C958" s="33"/>
      <c r="D958" s="32"/>
      <c r="E958" s="33"/>
      <c r="F958" s="10"/>
      <c r="H958" s="21"/>
      <c r="I958" s="31"/>
      <c r="J958" s="13"/>
    </row>
    <row r="959">
      <c r="A959" s="32"/>
      <c r="B959" s="32"/>
      <c r="C959" s="33"/>
      <c r="D959" s="32"/>
      <c r="E959" s="33"/>
      <c r="F959" s="10"/>
      <c r="H959" s="21"/>
      <c r="I959" s="31"/>
      <c r="J959" s="13"/>
    </row>
    <row r="960">
      <c r="A960" s="32"/>
      <c r="B960" s="32"/>
      <c r="C960" s="33"/>
      <c r="D960" s="32"/>
      <c r="E960" s="33"/>
      <c r="F960" s="10"/>
      <c r="H960" s="21"/>
      <c r="I960" s="31"/>
      <c r="J960" s="13"/>
    </row>
    <row r="961">
      <c r="A961" s="32"/>
      <c r="B961" s="32"/>
      <c r="C961" s="33"/>
      <c r="D961" s="32"/>
      <c r="E961" s="33"/>
      <c r="F961" s="10"/>
      <c r="H961" s="21"/>
      <c r="I961" s="31"/>
      <c r="J961" s="13"/>
    </row>
    <row r="962">
      <c r="A962" s="32"/>
      <c r="B962" s="32"/>
      <c r="C962" s="33"/>
      <c r="D962" s="32"/>
      <c r="E962" s="33"/>
      <c r="F962" s="10"/>
      <c r="H962" s="21"/>
      <c r="I962" s="31"/>
      <c r="J962" s="13"/>
    </row>
    <row r="963">
      <c r="A963" s="32"/>
      <c r="B963" s="32"/>
      <c r="C963" s="33"/>
      <c r="D963" s="32"/>
      <c r="E963" s="33"/>
      <c r="F963" s="10"/>
      <c r="H963" s="21"/>
      <c r="I963" s="31"/>
      <c r="J963" s="13"/>
    </row>
    <row r="964">
      <c r="A964" s="32"/>
      <c r="B964" s="32"/>
      <c r="C964" s="33"/>
      <c r="D964" s="32"/>
      <c r="E964" s="33"/>
      <c r="F964" s="10"/>
      <c r="H964" s="21"/>
      <c r="I964" s="31"/>
      <c r="J964" s="13"/>
    </row>
    <row r="965">
      <c r="A965" s="32"/>
      <c r="B965" s="32"/>
      <c r="C965" s="33"/>
      <c r="D965" s="32"/>
      <c r="E965" s="33"/>
      <c r="F965" s="10"/>
      <c r="H965" s="21"/>
      <c r="I965" s="31"/>
      <c r="J965" s="13"/>
    </row>
    <row r="966">
      <c r="A966" s="32"/>
      <c r="B966" s="32"/>
      <c r="C966" s="33"/>
      <c r="D966" s="32"/>
      <c r="E966" s="33"/>
      <c r="F966" s="10"/>
      <c r="H966" s="21"/>
      <c r="I966" s="31"/>
      <c r="J966" s="13"/>
    </row>
    <row r="967">
      <c r="A967" s="32"/>
      <c r="B967" s="32"/>
      <c r="C967" s="33"/>
      <c r="D967" s="32"/>
      <c r="E967" s="33"/>
      <c r="F967" s="10"/>
      <c r="H967" s="21"/>
      <c r="I967" s="31"/>
      <c r="J967" s="13"/>
    </row>
    <row r="968">
      <c r="A968" s="32"/>
      <c r="B968" s="32"/>
      <c r="C968" s="33"/>
      <c r="D968" s="32"/>
      <c r="E968" s="33"/>
      <c r="F968" s="10"/>
      <c r="H968" s="21"/>
      <c r="I968" s="31"/>
      <c r="J968" s="13"/>
    </row>
    <row r="969">
      <c r="A969" s="32"/>
      <c r="B969" s="32"/>
      <c r="C969" s="33"/>
      <c r="D969" s="32"/>
      <c r="E969" s="33"/>
      <c r="F969" s="10"/>
      <c r="H969" s="21"/>
      <c r="I969" s="31"/>
      <c r="J969" s="13"/>
    </row>
    <row r="970">
      <c r="A970" s="32"/>
      <c r="B970" s="32"/>
      <c r="C970" s="33"/>
      <c r="D970" s="32"/>
      <c r="E970" s="33"/>
      <c r="F970" s="10"/>
      <c r="H970" s="21"/>
      <c r="I970" s="31"/>
      <c r="J970" s="13"/>
    </row>
    <row r="971">
      <c r="A971" s="32"/>
      <c r="B971" s="32"/>
      <c r="C971" s="33"/>
      <c r="D971" s="32"/>
      <c r="E971" s="33"/>
      <c r="F971" s="10"/>
      <c r="H971" s="21"/>
      <c r="I971" s="31"/>
      <c r="J971" s="13"/>
    </row>
    <row r="972">
      <c r="A972" s="32"/>
      <c r="B972" s="32"/>
      <c r="C972" s="33"/>
      <c r="D972" s="32"/>
      <c r="E972" s="33"/>
      <c r="F972" s="10"/>
      <c r="H972" s="21"/>
      <c r="I972" s="31"/>
      <c r="J972" s="13"/>
    </row>
    <row r="973">
      <c r="A973" s="32"/>
      <c r="B973" s="32"/>
      <c r="C973" s="33"/>
      <c r="D973" s="32"/>
      <c r="E973" s="33"/>
      <c r="F973" s="10"/>
      <c r="H973" s="21"/>
      <c r="I973" s="31"/>
      <c r="J973" s="13"/>
    </row>
    <row r="974">
      <c r="A974" s="32"/>
      <c r="B974" s="32"/>
      <c r="C974" s="33"/>
      <c r="D974" s="32"/>
      <c r="E974" s="33"/>
      <c r="F974" s="10"/>
      <c r="H974" s="21"/>
      <c r="I974" s="31"/>
      <c r="J974" s="13"/>
    </row>
    <row r="975">
      <c r="A975" s="32"/>
      <c r="B975" s="32"/>
      <c r="C975" s="33"/>
      <c r="D975" s="32"/>
      <c r="E975" s="33"/>
      <c r="F975" s="10"/>
      <c r="H975" s="21"/>
      <c r="I975" s="31"/>
      <c r="J975" s="13"/>
    </row>
    <row r="976">
      <c r="A976" s="32"/>
      <c r="B976" s="32"/>
      <c r="C976" s="33"/>
      <c r="D976" s="32"/>
      <c r="E976" s="33"/>
      <c r="F976" s="10"/>
      <c r="H976" s="21"/>
      <c r="I976" s="31"/>
      <c r="J976" s="13"/>
    </row>
    <row r="977">
      <c r="A977" s="32"/>
      <c r="B977" s="32"/>
      <c r="C977" s="33"/>
      <c r="D977" s="32"/>
      <c r="E977" s="33"/>
      <c r="F977" s="10"/>
      <c r="H977" s="21"/>
      <c r="I977" s="31"/>
      <c r="J977" s="13"/>
    </row>
    <row r="978">
      <c r="A978" s="32"/>
      <c r="B978" s="32"/>
      <c r="C978" s="33"/>
      <c r="D978" s="32"/>
      <c r="E978" s="33"/>
      <c r="F978" s="10"/>
      <c r="H978" s="21"/>
      <c r="I978" s="31"/>
      <c r="J978" s="13"/>
    </row>
    <row r="979">
      <c r="A979" s="32"/>
      <c r="B979" s="32"/>
      <c r="C979" s="33"/>
      <c r="D979" s="32"/>
      <c r="E979" s="33"/>
      <c r="F979" s="10"/>
      <c r="H979" s="21"/>
      <c r="I979" s="31"/>
      <c r="J979" s="13"/>
    </row>
    <row r="980">
      <c r="A980" s="32"/>
      <c r="B980" s="32"/>
      <c r="C980" s="33"/>
      <c r="D980" s="32"/>
      <c r="E980" s="33"/>
      <c r="F980" s="10"/>
      <c r="H980" s="21"/>
      <c r="I980" s="31"/>
      <c r="J980" s="13"/>
    </row>
    <row r="981">
      <c r="A981" s="32"/>
      <c r="B981" s="32"/>
      <c r="C981" s="33"/>
      <c r="D981" s="32"/>
      <c r="E981" s="33"/>
      <c r="F981" s="10"/>
      <c r="H981" s="21"/>
      <c r="I981" s="31"/>
      <c r="J981" s="13"/>
    </row>
    <row r="982">
      <c r="A982" s="32"/>
      <c r="B982" s="32"/>
      <c r="C982" s="33"/>
      <c r="D982" s="32"/>
      <c r="E982" s="33"/>
      <c r="F982" s="10"/>
      <c r="H982" s="21"/>
      <c r="I982" s="31"/>
      <c r="J982" s="13"/>
    </row>
    <row r="983">
      <c r="A983" s="32"/>
      <c r="B983" s="32"/>
      <c r="C983" s="33"/>
      <c r="D983" s="32"/>
      <c r="E983" s="33"/>
      <c r="F983" s="10"/>
      <c r="H983" s="21"/>
      <c r="I983" s="31"/>
      <c r="J983" s="13"/>
    </row>
    <row r="984">
      <c r="A984" s="32"/>
      <c r="B984" s="32"/>
      <c r="C984" s="33"/>
      <c r="D984" s="32"/>
      <c r="E984" s="33"/>
      <c r="F984" s="10"/>
      <c r="H984" s="21"/>
      <c r="I984" s="31"/>
      <c r="J984" s="13"/>
    </row>
    <row r="985">
      <c r="A985" s="32"/>
      <c r="B985" s="32"/>
      <c r="C985" s="33"/>
      <c r="D985" s="32"/>
      <c r="E985" s="33"/>
      <c r="F985" s="10"/>
      <c r="H985" s="21"/>
      <c r="I985" s="31"/>
      <c r="J985" s="13"/>
    </row>
    <row r="986">
      <c r="A986" s="32"/>
      <c r="B986" s="32"/>
      <c r="C986" s="33"/>
      <c r="D986" s="32"/>
      <c r="E986" s="33"/>
      <c r="F986" s="10"/>
      <c r="H986" s="21"/>
      <c r="I986" s="31"/>
      <c r="J986" s="13"/>
    </row>
    <row r="987">
      <c r="A987" s="32"/>
      <c r="B987" s="32"/>
      <c r="C987" s="33"/>
      <c r="D987" s="32"/>
      <c r="E987" s="33"/>
      <c r="F987" s="10"/>
      <c r="H987" s="21"/>
      <c r="I987" s="31"/>
      <c r="J987" s="13"/>
    </row>
    <row r="988">
      <c r="A988" s="32"/>
      <c r="B988" s="32"/>
      <c r="C988" s="33"/>
      <c r="D988" s="32"/>
      <c r="E988" s="33"/>
      <c r="F988" s="10"/>
      <c r="H988" s="21"/>
      <c r="I988" s="31"/>
      <c r="J988" s="13"/>
    </row>
    <row r="989">
      <c r="A989" s="32"/>
      <c r="B989" s="32"/>
      <c r="C989" s="33"/>
      <c r="D989" s="32"/>
      <c r="E989" s="33"/>
      <c r="F989" s="10"/>
      <c r="H989" s="21"/>
      <c r="I989" s="31"/>
      <c r="J989" s="13"/>
    </row>
    <row r="990">
      <c r="A990" s="32"/>
      <c r="B990" s="32"/>
      <c r="C990" s="33"/>
      <c r="D990" s="32"/>
      <c r="E990" s="33"/>
      <c r="F990" s="10"/>
      <c r="H990" s="21"/>
      <c r="I990" s="31"/>
      <c r="J990" s="13"/>
    </row>
    <row r="991">
      <c r="A991" s="32"/>
      <c r="B991" s="32"/>
      <c r="C991" s="33"/>
      <c r="D991" s="32"/>
      <c r="E991" s="33"/>
      <c r="F991" s="10"/>
      <c r="H991" s="21"/>
      <c r="I991" s="31"/>
      <c r="J991" s="13"/>
    </row>
    <row r="992">
      <c r="A992" s="32"/>
      <c r="B992" s="32"/>
      <c r="C992" s="33"/>
      <c r="D992" s="32"/>
      <c r="E992" s="33"/>
      <c r="F992" s="10"/>
      <c r="H992" s="21"/>
      <c r="I992" s="31"/>
      <c r="J992" s="13"/>
    </row>
    <row r="993">
      <c r="A993" s="32"/>
      <c r="B993" s="32"/>
      <c r="C993" s="33"/>
      <c r="D993" s="32"/>
      <c r="E993" s="33"/>
      <c r="F993" s="10"/>
      <c r="H993" s="21"/>
      <c r="I993" s="31"/>
      <c r="J993" s="13"/>
    </row>
    <row r="994">
      <c r="A994" s="32"/>
      <c r="B994" s="32"/>
      <c r="C994" s="33"/>
      <c r="D994" s="32"/>
      <c r="E994" s="33"/>
      <c r="F994" s="10"/>
      <c r="H994" s="21"/>
      <c r="I994" s="31"/>
      <c r="J994" s="13"/>
    </row>
    <row r="995">
      <c r="A995" s="32"/>
      <c r="B995" s="32"/>
      <c r="C995" s="33"/>
      <c r="D995" s="32"/>
      <c r="E995" s="33"/>
      <c r="F995" s="10"/>
      <c r="H995" s="21"/>
      <c r="I995" s="31"/>
      <c r="J995" s="13"/>
    </row>
    <row r="996">
      <c r="A996" s="32"/>
      <c r="B996" s="32"/>
      <c r="C996" s="33"/>
      <c r="D996" s="32"/>
      <c r="E996" s="33"/>
      <c r="F996" s="10"/>
      <c r="H996" s="21"/>
      <c r="I996" s="31"/>
      <c r="J996" s="13"/>
    </row>
    <row r="997">
      <c r="A997" s="32"/>
      <c r="B997" s="32"/>
      <c r="C997" s="33"/>
      <c r="D997" s="32"/>
      <c r="E997" s="33"/>
      <c r="F997" s="10"/>
      <c r="H997" s="21"/>
      <c r="I997" s="31"/>
      <c r="J997" s="13"/>
    </row>
    <row r="998">
      <c r="A998" s="32"/>
      <c r="B998" s="32"/>
      <c r="C998" s="33"/>
      <c r="D998" s="32"/>
      <c r="E998" s="33"/>
      <c r="F998" s="10"/>
      <c r="H998" s="21"/>
      <c r="I998" s="31"/>
      <c r="J998" s="13"/>
    </row>
    <row r="999">
      <c r="A999" s="32"/>
      <c r="B999" s="32"/>
      <c r="C999" s="33"/>
      <c r="D999" s="32"/>
      <c r="E999" s="33"/>
      <c r="F999" s="10"/>
      <c r="H999" s="21"/>
      <c r="I999" s="31"/>
      <c r="J999" s="13"/>
    </row>
    <row r="1000">
      <c r="A1000" s="32"/>
      <c r="B1000" s="32"/>
      <c r="C1000" s="33"/>
      <c r="D1000" s="32"/>
      <c r="E1000" s="33"/>
      <c r="F1000" s="10"/>
      <c r="H1000" s="21"/>
      <c r="I1000" s="31"/>
      <c r="J1000" s="13"/>
    </row>
  </sheetData>
  <hyperlinks>
    <hyperlink r:id="rId1" ref="H39"/>
  </hyperlinks>
  <drawing r:id="rId2"/>
</worksheet>
</file>